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a\Desktop\"/>
    </mc:Choice>
  </mc:AlternateContent>
  <xr:revisionPtr revIDLastSave="0" documentId="8_{E289299C-5FB0-40A9-AE82-F2B74120A609}" xr6:coauthVersionLast="47" xr6:coauthVersionMax="47" xr10:uidLastSave="{00000000-0000-0000-0000-000000000000}"/>
  <bookViews>
    <workbookView xWindow="-120" yWindow="-120" windowWidth="29040" windowHeight="15840" tabRatio="698" activeTab="3" xr2:uid="{00000000-000D-0000-FFFF-FFFF00000000}"/>
  </bookViews>
  <sheets>
    <sheet name="Source" sheetId="1" r:id="rId1"/>
    <sheet name="Riclassificati Patrimoniali" sheetId="2" r:id="rId2"/>
    <sheet name="Riclassificati Economici" sheetId="3" r:id="rId3"/>
    <sheet name="Rendiconto finanziario" sheetId="5" r:id="rId4"/>
  </sheets>
  <definedNames>
    <definedName name="_xlnm._FilterDatabase" localSheetId="0" hidden="1">Source!$A$1:$P$306</definedName>
    <definedName name="_xlnm.Print_Area" localSheetId="1">'Riclassificati Patrimoniali'!$A$1:$F$21</definedName>
    <definedName name="_xlnm.Print_Area" localSheetId="0">Source!$A$1:$E$175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4" i="1" l="1"/>
  <c r="C304" i="1"/>
  <c r="B297" i="1"/>
  <c r="H280" i="1"/>
  <c r="B225" i="1"/>
  <c r="I244" i="1"/>
  <c r="I280" i="1"/>
  <c r="B269" i="1"/>
  <c r="B243" i="1"/>
  <c r="B228" i="1"/>
  <c r="B224" i="1" l="1"/>
  <c r="B207" i="1"/>
  <c r="B108" i="1"/>
  <c r="C278" i="1"/>
  <c r="C269" i="1"/>
  <c r="C270" i="1" s="1"/>
  <c r="C271" i="1" s="1"/>
  <c r="C243" i="1"/>
  <c r="C239" i="1"/>
  <c r="C228" i="1"/>
  <c r="C233" i="1" s="1"/>
  <c r="C226" i="1"/>
  <c r="C225" i="1"/>
  <c r="C224" i="1"/>
  <c r="C221" i="1"/>
  <c r="C222" i="1" s="1"/>
  <c r="C207" i="1"/>
  <c r="C209" i="1" s="1"/>
  <c r="C210" i="1" s="1"/>
  <c r="C212" i="1" s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7" i="1"/>
  <c r="C135" i="1"/>
  <c r="C141" i="1" s="1"/>
  <c r="C108" i="1"/>
  <c r="C111" i="1" s="1"/>
  <c r="C106" i="1"/>
  <c r="C70" i="1"/>
  <c r="C96" i="1" s="1"/>
  <c r="C64" i="1"/>
  <c r="C22" i="1"/>
  <c r="C15" i="1"/>
  <c r="C280" i="1" l="1"/>
  <c r="C112" i="1"/>
  <c r="C56" i="1"/>
  <c r="C244" i="1"/>
  <c r="C245" i="1" s="1"/>
  <c r="C297" i="1" l="1"/>
  <c r="C114" i="1"/>
  <c r="D15" i="1" l="1"/>
  <c r="D22" i="1"/>
  <c r="D64" i="1"/>
  <c r="D70" i="1"/>
  <c r="D96" i="1" s="1"/>
  <c r="D106" i="1"/>
  <c r="D108" i="1"/>
  <c r="D111" i="1" s="1"/>
  <c r="D135" i="1"/>
  <c r="D141" i="1" s="1"/>
  <c r="D147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7" i="1"/>
  <c r="D209" i="1"/>
  <c r="D214" i="1"/>
  <c r="D221" i="1"/>
  <c r="D224" i="1"/>
  <c r="D225" i="1"/>
  <c r="D233" i="1"/>
  <c r="D239" i="1"/>
  <c r="D243" i="1"/>
  <c r="D270" i="1"/>
  <c r="D271" i="1" s="1"/>
  <c r="D278" i="1"/>
  <c r="D280" i="1" l="1"/>
  <c r="D244" i="1"/>
  <c r="D210" i="1"/>
  <c r="D212" i="1" s="1"/>
  <c r="D56" i="1"/>
  <c r="D114" i="1" s="1"/>
  <c r="D222" i="1"/>
  <c r="D112" i="1"/>
  <c r="B239" i="1"/>
  <c r="B233" i="1"/>
  <c r="B278" i="1"/>
  <c r="B270" i="1"/>
  <c r="B271" i="1" s="1"/>
  <c r="B221" i="1"/>
  <c r="B222" i="1" s="1"/>
  <c r="B209" i="1"/>
  <c r="B205" i="1"/>
  <c r="B201" i="1"/>
  <c r="B197" i="1"/>
  <c r="B193" i="1"/>
  <c r="B189" i="1"/>
  <c r="B185" i="1"/>
  <c r="B181" i="1"/>
  <c r="B177" i="1"/>
  <c r="B173" i="1"/>
  <c r="B169" i="1"/>
  <c r="B153" i="1"/>
  <c r="B157" i="1"/>
  <c r="B161" i="1"/>
  <c r="B165" i="1"/>
  <c r="B147" i="1"/>
  <c r="B135" i="1"/>
  <c r="B141" i="1" s="1"/>
  <c r="B111" i="1"/>
  <c r="B106" i="1"/>
  <c r="B70" i="1"/>
  <c r="B96" i="1" s="1"/>
  <c r="B64" i="1"/>
  <c r="B15" i="1"/>
  <c r="B22" i="1"/>
  <c r="D245" i="1" l="1"/>
  <c r="D297" i="1" s="1"/>
  <c r="P213" i="1" s="1"/>
  <c r="P2" i="1" s="1"/>
  <c r="P212" i="1"/>
  <c r="P1" i="1" s="1"/>
  <c r="B210" i="1"/>
  <c r="B212" i="1" s="1"/>
  <c r="B244" i="1"/>
  <c r="B112" i="1"/>
  <c r="B56" i="1"/>
  <c r="B280" i="1"/>
  <c r="C47" i="5"/>
  <c r="C46" i="5"/>
  <c r="D47" i="5"/>
  <c r="D46" i="5"/>
  <c r="D40" i="5"/>
  <c r="C40" i="5"/>
  <c r="D31" i="5"/>
  <c r="C31" i="5"/>
  <c r="D30" i="5"/>
  <c r="C30" i="5"/>
  <c r="D29" i="5"/>
  <c r="C29" i="5"/>
  <c r="D17" i="5"/>
  <c r="D23" i="5"/>
  <c r="D22" i="5"/>
  <c r="C22" i="5"/>
  <c r="D21" i="5"/>
  <c r="C21" i="5"/>
  <c r="D20" i="5"/>
  <c r="C20" i="5"/>
  <c r="D19" i="5"/>
  <c r="C19" i="5"/>
  <c r="D18" i="5"/>
  <c r="C18" i="5"/>
  <c r="C17" i="5"/>
  <c r="D16" i="5"/>
  <c r="C16" i="5"/>
  <c r="D15" i="5"/>
  <c r="C15" i="5"/>
  <c r="D14" i="5"/>
  <c r="D38" i="5" s="1"/>
  <c r="C14" i="5"/>
  <c r="C38" i="5" s="1"/>
  <c r="G15" i="1"/>
  <c r="C3" i="3"/>
  <c r="C23" i="5"/>
  <c r="D16" i="3"/>
  <c r="E16" i="3" s="1"/>
  <c r="C16" i="3"/>
  <c r="D19" i="3"/>
  <c r="E19" i="3" s="1"/>
  <c r="K305" i="1"/>
  <c r="K307" i="1" s="1"/>
  <c r="J142" i="1"/>
  <c r="J144" i="1" s="1"/>
  <c r="D27" i="3"/>
  <c r="E27" i="3" s="1"/>
  <c r="D25" i="3"/>
  <c r="D24" i="3"/>
  <c r="E24" i="3" s="1"/>
  <c r="D22" i="3"/>
  <c r="E22" i="3" s="1"/>
  <c r="D21" i="3"/>
  <c r="E21" i="3" s="1"/>
  <c r="D20" i="3"/>
  <c r="D15" i="3"/>
  <c r="E15" i="3" s="1"/>
  <c r="D14" i="3"/>
  <c r="D12" i="3"/>
  <c r="E12" i="3" s="1"/>
  <c r="D10" i="3"/>
  <c r="D8" i="3"/>
  <c r="D6" i="3"/>
  <c r="D5" i="3"/>
  <c r="D4" i="3"/>
  <c r="D3" i="3"/>
  <c r="E3" i="3" s="1"/>
  <c r="C27" i="3"/>
  <c r="C25" i="3"/>
  <c r="C24" i="3"/>
  <c r="C22" i="3"/>
  <c r="C21" i="3"/>
  <c r="C20" i="3"/>
  <c r="C19" i="3"/>
  <c r="C15" i="3"/>
  <c r="C14" i="3"/>
  <c r="C12" i="3"/>
  <c r="C10" i="3"/>
  <c r="C4" i="3"/>
  <c r="C8" i="3"/>
  <c r="C6" i="3"/>
  <c r="C5" i="3"/>
  <c r="J99" i="1"/>
  <c r="E18" i="3"/>
  <c r="J211" i="1"/>
  <c r="J207" i="1"/>
  <c r="J203" i="1"/>
  <c r="J199" i="1"/>
  <c r="J179" i="1"/>
  <c r="J89" i="1"/>
  <c r="J85" i="1"/>
  <c r="J81" i="1"/>
  <c r="J77" i="1"/>
  <c r="C4" i="2"/>
  <c r="D4" i="2"/>
  <c r="C5" i="2"/>
  <c r="D5" i="2"/>
  <c r="C6" i="2"/>
  <c r="D6" i="2"/>
  <c r="C9" i="2"/>
  <c r="D9" i="2"/>
  <c r="C10" i="2"/>
  <c r="D10" i="2"/>
  <c r="C11" i="2"/>
  <c r="D11" i="2"/>
  <c r="C15" i="2"/>
  <c r="D15" i="2"/>
  <c r="C16" i="2"/>
  <c r="D16" i="2"/>
  <c r="C17" i="2"/>
  <c r="D17" i="2"/>
  <c r="I120" i="1"/>
  <c r="I145" i="1"/>
  <c r="I148" i="1"/>
  <c r="B245" i="1" l="1"/>
  <c r="H244" i="1"/>
  <c r="E6" i="3"/>
  <c r="E8" i="3"/>
  <c r="B114" i="1"/>
  <c r="N212" i="1" s="1"/>
  <c r="N1" i="1" s="1"/>
  <c r="E5" i="3"/>
  <c r="E20" i="3"/>
  <c r="D42" i="5"/>
  <c r="O213" i="1"/>
  <c r="O2" i="1" s="1"/>
  <c r="O212" i="1"/>
  <c r="O1" i="1" s="1"/>
  <c r="D9" i="3"/>
  <c r="D33" i="5"/>
  <c r="C48" i="5"/>
  <c r="E25" i="3"/>
  <c r="C7" i="3"/>
  <c r="C33" i="5"/>
  <c r="C18" i="2"/>
  <c r="C12" i="2"/>
  <c r="C7" i="2"/>
  <c r="E17" i="2"/>
  <c r="E11" i="2"/>
  <c r="E6" i="2"/>
  <c r="E16" i="2"/>
  <c r="E10" i="2"/>
  <c r="E5" i="2"/>
  <c r="E14" i="3"/>
  <c r="D12" i="2"/>
  <c r="D7" i="2"/>
  <c r="D18" i="2"/>
  <c r="E10" i="3"/>
  <c r="E4" i="3"/>
  <c r="D7" i="3"/>
  <c r="E4" i="2"/>
  <c r="E9" i="2"/>
  <c r="D48" i="5"/>
  <c r="J217" i="1"/>
  <c r="D25" i="5"/>
  <c r="E15" i="2"/>
  <c r="C42" i="5"/>
  <c r="C25" i="5"/>
  <c r="C9" i="3" l="1"/>
  <c r="C11" i="3" s="1"/>
  <c r="C13" i="3" s="1"/>
  <c r="C17" i="3" s="1"/>
  <c r="C23" i="3" s="1"/>
  <c r="C26" i="3" s="1"/>
  <c r="C28" i="3" s="1"/>
  <c r="C31" i="3" s="1"/>
  <c r="N213" i="1"/>
  <c r="N2" i="1" s="1"/>
  <c r="D44" i="5"/>
  <c r="D50" i="5" s="1"/>
  <c r="D10" i="5" s="1"/>
  <c r="C13" i="2"/>
  <c r="C20" i="2" s="1"/>
  <c r="E18" i="2"/>
  <c r="E7" i="2"/>
  <c r="E12" i="2"/>
  <c r="D13" i="2"/>
  <c r="C44" i="5"/>
  <c r="C50" i="5" s="1"/>
  <c r="C10" i="5" s="1"/>
  <c r="E7" i="3"/>
  <c r="D11" i="3"/>
  <c r="E9" i="3" l="1"/>
  <c r="E13" i="2"/>
  <c r="D20" i="2"/>
  <c r="E11" i="3"/>
  <c r="D13" i="3"/>
  <c r="D17" i="3" l="1"/>
  <c r="E13" i="3"/>
  <c r="E17" i="3" l="1"/>
  <c r="D23" i="3"/>
  <c r="D26" i="3" l="1"/>
  <c r="E23" i="3"/>
  <c r="D28" i="3" l="1"/>
  <c r="E26" i="3"/>
  <c r="D31" i="3" l="1"/>
  <c r="E28" i="3"/>
</calcChain>
</file>

<file path=xl/sharedStrings.xml><?xml version="1.0" encoding="utf-8"?>
<sst xmlns="http://schemas.openxmlformats.org/spreadsheetml/2006/main" count="495" uniqueCount="336">
  <si>
    <t>RendFin</t>
    <phoneticPr fontId="7" type="noConversion"/>
  </si>
  <si>
    <t>MT</t>
    <phoneticPr fontId="7" type="noConversion"/>
  </si>
  <si>
    <t>FOR</t>
    <phoneticPr fontId="7" type="noConversion"/>
  </si>
  <si>
    <t>MP</t>
    <phoneticPr fontId="7" type="noConversion"/>
  </si>
  <si>
    <t>CLI</t>
    <phoneticPr fontId="7" type="noConversion"/>
  </si>
  <si>
    <t>RF</t>
    <phoneticPr fontId="7" type="noConversion"/>
  </si>
  <si>
    <t>(Investimenti)/dismissioni immobilizzazioni immateriali</t>
    <phoneticPr fontId="7" type="noConversion"/>
  </si>
  <si>
    <t>(Investimenti)/dismissioni immobilizzazioni materiali</t>
    <phoneticPr fontId="7" type="noConversion"/>
  </si>
  <si>
    <t>(Investimenti)/dismissioni immobilizzazioni finanziarie</t>
    <phoneticPr fontId="7" type="noConversion"/>
  </si>
  <si>
    <t>Incremento/(decremento) di capitale e riserve</t>
    <phoneticPr fontId="7" type="noConversion"/>
  </si>
  <si>
    <t>Incremento/(decremento) debiti finanziari</t>
    <phoneticPr fontId="7" type="noConversion"/>
  </si>
  <si>
    <t>VACCN</t>
    <phoneticPr fontId="7" type="noConversion"/>
  </si>
  <si>
    <t>VPCCN</t>
    <phoneticPr fontId="7" type="noConversion"/>
  </si>
  <si>
    <t>chk</t>
    <phoneticPr fontId="7" type="noConversion"/>
  </si>
  <si>
    <t>Riclass</t>
    <phoneticPr fontId="7" type="noConversion"/>
  </si>
  <si>
    <t>Incremento/(decremento) dei debiti verso fornitori</t>
    <phoneticPr fontId="7" type="noConversion"/>
  </si>
  <si>
    <t>Incremento/(decremento) dei fondi per rischi e oneri</t>
    <phoneticPr fontId="7" type="noConversion"/>
  </si>
  <si>
    <t>VACCN</t>
    <phoneticPr fontId="7" type="noConversion"/>
  </si>
  <si>
    <t>Da foglio Source</t>
  </si>
  <si>
    <t>Da foglio Source B.10-a/b</t>
  </si>
  <si>
    <t>Delta CCN</t>
  </si>
  <si>
    <t>COLLEGAMENTI/NOTE</t>
  </si>
  <si>
    <t>Flusso finanziario dell’attività di finanziamento (C)</t>
  </si>
  <si>
    <t>RENDICONTO FINANZIARIO</t>
  </si>
  <si>
    <t xml:space="preserve"> 3) Diritti di brevetto industriale e diritti di utilizzazione delle opere dell'ingegno
</t>
  </si>
  <si>
    <t>B. Flussi finanziari derivanti dall’attività d’investimento</t>
  </si>
  <si>
    <t>Flusso finanziario dell’attività di investimento (B)</t>
  </si>
  <si>
    <t>C. Flussi finanziari derivanti dall’attività di finanziamento</t>
  </si>
  <si>
    <t>Mezzi di terzi</t>
  </si>
  <si>
    <t>Mezzi propri</t>
  </si>
  <si>
    <t>Incremento (decremento) delle disponibilità liquide (a ± b ± c)</t>
  </si>
  <si>
    <t xml:space="preserve">A. Flussi finanziari derivanti dalla gestione reddituale </t>
  </si>
  <si>
    <t>(PN)</t>
  </si>
  <si>
    <t>Utile (perdita) dell’esercizio</t>
  </si>
  <si>
    <t>Ammortamenti delle immobilizzazioni</t>
  </si>
  <si>
    <t>Decremento/(incremento) delle rimanenze</t>
  </si>
  <si>
    <t>Decremento/(incremento) dei crediti vs clienti</t>
  </si>
  <si>
    <t>Decremento/(incremento) ratei e risconti attivi</t>
  </si>
  <si>
    <t>Incremento/(decremento) ratei e risconti passivi</t>
  </si>
  <si>
    <t>Altre variazioni del capitale circolante netto</t>
  </si>
  <si>
    <t>Flusso finanziario della gestione reddituale (A)</t>
  </si>
  <si>
    <t xml:space="preserve"> 4) Incrementi di immobilizzazioni per lavori interni</t>
  </si>
  <si>
    <t xml:space="preserve"> 6) Per materie prime, sussidiarie, di consumo e merci</t>
  </si>
  <si>
    <t xml:space="preserve"> d) Trattamento di quiescenza e simili</t>
  </si>
  <si>
    <t xml:space="preserve"> c) Altre svalutazioni delle immobilizzazioni</t>
  </si>
  <si>
    <t xml:space="preserve"> d) Svalutazione crediti attivo circolante e disponibilità liquide</t>
  </si>
  <si>
    <t xml:space="preserve"> 11) Variazione delle rimanenze di materie prime, sussidiarie, di consumo e merci</t>
  </si>
  <si>
    <t xml:space="preserve"> 12) Accantonamenti per rischi</t>
  </si>
  <si>
    <t xml:space="preserve"> Differenza tra valore e costi della produzione (A-B)</t>
  </si>
  <si>
    <t xml:space="preserve"> 15) Proventi da partecipazioni</t>
  </si>
  <si>
    <t xml:space="preserve"> Da imprese controllate</t>
  </si>
  <si>
    <t xml:space="preserve"> Da imprese collegate</t>
  </si>
  <si>
    <t xml:space="preserve"> Totale proventi da partecipazioni (15)</t>
  </si>
  <si>
    <t xml:space="preserve"> a) Da crediti iscritti nelle immobilizzazioni</t>
  </si>
  <si>
    <t xml:space="preserve"> Da imprese controllanti</t>
  </si>
  <si>
    <t xml:space="preserve"> Totale proventi finanziari da crediti iscritti nelle immobilizzazioni</t>
  </si>
  <si>
    <t xml:space="preserve"> b) Da titoli iscritti nelle immobilizzazioni che non costituiscono partecipazioni</t>
  </si>
  <si>
    <t xml:space="preserve"> c) Da titoli iscritti nell'attivo circolante che non costituiscono partecipazioni</t>
  </si>
  <si>
    <t xml:space="preserve"> Totale proventi e oneri finanziari  (C) (15+16-17+-17-bis)</t>
  </si>
  <si>
    <t xml:space="preserve"> 18) Rivalutazioni:</t>
  </si>
  <si>
    <t xml:space="preserve"> a) Di partecipazioni</t>
  </si>
  <si>
    <t xml:space="preserve"> b) Di immobilizzazioni finanziarie che non costituiscono partecipazioni</t>
  </si>
  <si>
    <t xml:space="preserve"> c) Di titoli iscritti nell'attivo circolante che non costituiscono partecipazioni</t>
  </si>
  <si>
    <t xml:space="preserve"> 19) Svalutazioni:</t>
  </si>
  <si>
    <t xml:space="preserve"> Imposte relative ad esercizi precedenti</t>
  </si>
  <si>
    <t xml:space="preserve"> Proventi (oneri) da adesione al regime consolidato fiscale/trasparenza fiscale</t>
  </si>
  <si>
    <t xml:space="preserve"> Riserva azioni (quote) della società controllante</t>
  </si>
  <si>
    <t xml:space="preserve"> Versamenti in conto aumento di capitale</t>
  </si>
  <si>
    <t xml:space="preserve"> Versamenti in conto futuro aumento di capitale</t>
  </si>
  <si>
    <t xml:space="preserve"> Versamenti in conto capitale</t>
  </si>
  <si>
    <t xml:space="preserve"> Versamenti a copertura perdite</t>
  </si>
  <si>
    <t xml:space="preserve"> Riserva da riduzione capitale sociale</t>
  </si>
  <si>
    <t xml:space="preserve"> Riserva avanzo di fusione</t>
  </si>
  <si>
    <t xml:space="preserve"> 1) Per trattamento di quiescenza e obblighi simili</t>
  </si>
  <si>
    <t xml:space="preserve"> C) TRATTAMENTO DI FINE RAPPORTO DI LAVORO SUBORDINATO</t>
  </si>
  <si>
    <t xml:space="preserve"> 1) Obbligazioni</t>
  </si>
  <si>
    <t xml:space="preserve"> Totale obbligazioni (1)</t>
  </si>
  <si>
    <t xml:space="preserve"> 2) Obbligazioni convertibili</t>
  </si>
  <si>
    <t xml:space="preserve"> Totale obbligazioni convertibili (2)</t>
  </si>
  <si>
    <t xml:space="preserve"> 3) Debiti verso soci per finanziamenti</t>
  </si>
  <si>
    <t xml:space="preserve"> Totale debiti verso soci per finanziamenti (3)</t>
  </si>
  <si>
    <t xml:space="preserve"> 5) Debiti verso altri finanziatori</t>
  </si>
  <si>
    <t xml:space="preserve"> Totale debiti verso altri finanziatori (5)</t>
  </si>
  <si>
    <t xml:space="preserve"> 8) Debiti rappresentati da titoli di credito</t>
  </si>
  <si>
    <t xml:space="preserve"> Totale debiti rappresentati da titoli di credito (8)</t>
  </si>
  <si>
    <t xml:space="preserve"> 9) Debiti verso imprese controllate</t>
  </si>
  <si>
    <t xml:space="preserve"> Totale debiti verso imprese controllate (9)</t>
  </si>
  <si>
    <t xml:space="preserve"> 10) Debiti verso imprese collegate</t>
  </si>
  <si>
    <t xml:space="preserve"> Totale debiti verso imprese collegate (10)</t>
  </si>
  <si>
    <t xml:space="preserve"> 13) Debiti verso istituti di previdenza e di sicurezza sociale</t>
  </si>
  <si>
    <t xml:space="preserve"> Totale debiti verso istituti di previdenza e di sicurezza sociale (13)</t>
  </si>
  <si>
    <t xml:space="preserve"> 2) Variazione delle rimanenze di prodotti in corso di lavorazione, semilavorati e finiti</t>
  </si>
  <si>
    <t xml:space="preserve"> 3) Lavori in corso su ordinazione</t>
  </si>
  <si>
    <t xml:space="preserve"> 5) Acconti</t>
  </si>
  <si>
    <t xml:space="preserve"> Varie altre riserve</t>
  </si>
  <si>
    <t xml:space="preserve"> 2) Per imposte, anche differite</t>
  </si>
  <si>
    <t xml:space="preserve"> 11) Debiti verso controllanti</t>
  </si>
  <si>
    <t xml:space="preserve"> Totale debiti verso controllanti (11)</t>
  </si>
  <si>
    <t xml:space="preserve"> 3) Variazioni dei lavori in corso su ordinazione</t>
  </si>
  <si>
    <t xml:space="preserve"> Contributi in conto esercizio</t>
  </si>
  <si>
    <t xml:space="preserve"> 13) Altri accantonamenti</t>
  </si>
  <si>
    <t xml:space="preserve"> 17-bis) Utili e perdite su cambi</t>
  </si>
  <si>
    <t xml:space="preserve"> Parte richiamata</t>
  </si>
  <si>
    <t xml:space="preserve"> Parte da richiamare</t>
  </si>
  <si>
    <t xml:space="preserve"> Totale crediti verso soci per versamenti ancora dovuti (A)</t>
  </si>
  <si>
    <t xml:space="preserve"> 1) Costi di impianto e di ampliamento</t>
  </si>
  <si>
    <t xml:space="preserve"> 5) Avviamento</t>
  </si>
  <si>
    <t xml:space="preserve"> 5) Immobilizzazioni in corso e acconti</t>
  </si>
  <si>
    <t xml:space="preserve"> a) Imprese controllate</t>
  </si>
  <si>
    <t xml:space="preserve"> b) Imprese collegate</t>
  </si>
  <si>
    <t xml:space="preserve"> c) Imprese controllanti</t>
  </si>
  <si>
    <t xml:space="preserve"> 2) Crediti</t>
  </si>
  <si>
    <t xml:space="preserve"> a) Verso imprese controllate</t>
  </si>
  <si>
    <t xml:space="preserve"> Totale crediti verso imprese controllate</t>
  </si>
  <si>
    <t xml:space="preserve"> b) Verso imprese collegate</t>
  </si>
  <si>
    <t xml:space="preserve"> Totale crediti verso imprese collegate</t>
  </si>
  <si>
    <t xml:space="preserve"> c) Verso controllanti</t>
  </si>
  <si>
    <t xml:space="preserve"> Totale crediti verso controllanti</t>
  </si>
  <si>
    <t xml:space="preserve"> Totale crediti verso altri</t>
  </si>
  <si>
    <t xml:space="preserve"> 3) Altri titoli</t>
  </si>
  <si>
    <t xml:space="preserve"> 2) Prodotti in corso di lavorazione e semilavorati</t>
  </si>
  <si>
    <t xml:space="preserve"> 2) Verso imprese controllate</t>
  </si>
  <si>
    <t xml:space="preserve"> 3) Verso imprese collegate</t>
  </si>
  <si>
    <t xml:space="preserve"> III - Attività finanziarie che non costituiscono immobilizzazioni</t>
  </si>
  <si>
    <t xml:space="preserve"> 1) Partecipazioni in imprese controllate</t>
  </si>
  <si>
    <t xml:space="preserve"> 2) Partecipazioni in imprese collegate</t>
  </si>
  <si>
    <t xml:space="preserve"> 3) Partecipazioni in imprese controllanti</t>
  </si>
  <si>
    <t xml:space="preserve"> 4) Altre partecipazioni</t>
  </si>
  <si>
    <t xml:space="preserve"> 6) Altri titoli</t>
  </si>
  <si>
    <t xml:space="preserve"> 2) Assegni</t>
  </si>
  <si>
    <t>Variaz. rimanenze di prod. in lavoraz., semilav., finiti e dei lavori in corso</t>
  </si>
  <si>
    <t>Incrementi di immobilizz. per lavori interni</t>
  </si>
  <si>
    <t>Altri ricavi e proventi</t>
  </si>
  <si>
    <t>VALORE DELLA PRODUZIONE</t>
  </si>
  <si>
    <t>Acquisti di materie prime, sussid., di consumo e merci</t>
  </si>
  <si>
    <t>Variaz. delle rimanenze di materie prime, sussid., di consumo e merci</t>
  </si>
  <si>
    <t>Costi per servizi e godimento beni di terzi</t>
  </si>
  <si>
    <t>VALORE AGGIUNTO</t>
  </si>
  <si>
    <t>Costo del personale</t>
  </si>
  <si>
    <t>MARGINE OPERATIVO LORDO</t>
  </si>
  <si>
    <t>Ammortamenti e svalutazioni</t>
  </si>
  <si>
    <t>Accantonamenti per rischi e altri accant.</t>
  </si>
  <si>
    <t>REDDITO OPERATIVO</t>
  </si>
  <si>
    <t>Oneri diversi di gestione</t>
  </si>
  <si>
    <t>Proventi finanziari</t>
  </si>
  <si>
    <t>Oneri finanziari</t>
  </si>
  <si>
    <t>REDDITO CORRENTE</t>
  </si>
  <si>
    <t>Proventi straordinari</t>
  </si>
  <si>
    <t>Oneri straordinari</t>
  </si>
  <si>
    <t>REDDITO ANTE IMPOSTE</t>
  </si>
  <si>
    <t>Imposte sul reddito</t>
  </si>
  <si>
    <t>REDDITO NETTO</t>
  </si>
  <si>
    <t xml:space="preserve"> 1) Ricavi delle vendite e delle prestazioni</t>
  </si>
  <si>
    <t>LI</t>
  </si>
  <si>
    <t>LD</t>
  </si>
  <si>
    <t>RF</t>
  </si>
  <si>
    <t>II</t>
  </si>
  <si>
    <t>IM</t>
  </si>
  <si>
    <t>IF</t>
  </si>
  <si>
    <t>PCN</t>
  </si>
  <si>
    <t>PCO</t>
  </si>
  <si>
    <t>PN</t>
  </si>
  <si>
    <t xml:space="preserve"> 7) Altre</t>
  </si>
  <si>
    <t>chk</t>
  </si>
  <si>
    <t xml:space="preserve"> 1) Terreni e fabbricati</t>
  </si>
  <si>
    <t xml:space="preserve"> 3) Attrezzature industriali e commerciali</t>
  </si>
  <si>
    <t xml:space="preserve"> 1) Materie prime, sussidiarie e di consumo</t>
  </si>
  <si>
    <t xml:space="preserve"> 4) Prodotti finiti e merci</t>
  </si>
  <si>
    <t xml:space="preserve"> 6) Acconti</t>
  </si>
  <si>
    <t xml:space="preserve"> Totale acconti (6)</t>
  </si>
  <si>
    <t>Altri ricavi e proventi non operativi</t>
  </si>
  <si>
    <t>Utili e perdite su cambi</t>
  </si>
  <si>
    <t xml:space="preserve"> 6) Immobilizzazioni in corso e acconti</t>
  </si>
  <si>
    <t xml:space="preserve"> e) Altri costi</t>
  </si>
  <si>
    <t xml:space="preserve"> 4) Verso controllanti</t>
  </si>
  <si>
    <t xml:space="preserve"> 4) Concessioni, licenze, marchi e diritti simili</t>
  </si>
  <si>
    <t xml:space="preserve"> VIII - Utili (perdite) portati a nuovo</t>
  </si>
  <si>
    <t xml:space="preserve"> I) Rimanenze</t>
  </si>
  <si>
    <t xml:space="preserve"> 10) Ammortamenti e svalutazioni:</t>
  </si>
  <si>
    <t xml:space="preserve"> B) FONDI PER RISCHI E ONERI</t>
  </si>
  <si>
    <t xml:space="preserve"> d) Proventi diversi dai precedenti</t>
  </si>
  <si>
    <t xml:space="preserve"> 4) Altri beni</t>
  </si>
  <si>
    <t xml:space="preserve"> Totale debiti (D)</t>
  </si>
  <si>
    <t xml:space="preserve"> 5) Altri ricavi e proventi</t>
  </si>
  <si>
    <t xml:space="preserve"> Totale immobilizzazioni finanziarie (III)</t>
  </si>
  <si>
    <t xml:space="preserve"> I - Capitale</t>
  </si>
  <si>
    <t xml:space="preserve"> 1) Depositi bancari e postali</t>
  </si>
  <si>
    <t xml:space="preserve"> V - Riserve statutarie</t>
  </si>
  <si>
    <t xml:space="preserve"> A) VALORE DELLA PRODUZIONE:</t>
  </si>
  <si>
    <t xml:space="preserve"> 3) Danaro e valori in cassa</t>
  </si>
  <si>
    <t xml:space="preserve"> B) COSTI DELLA PRODUZIONE:</t>
  </si>
  <si>
    <t xml:space="preserve"> Totale debiti tributari (12)</t>
  </si>
  <si>
    <t xml:space="preserve"> b) Oneri sociali</t>
  </si>
  <si>
    <t xml:space="preserve"> Altri</t>
  </si>
  <si>
    <t xml:space="preserve"> III - Riserve di rivalutazione</t>
  </si>
  <si>
    <t xml:space="preserve"> IX - Utile (perdita) dell'esercizio</t>
  </si>
  <si>
    <t xml:space="preserve"> I - Immobilizzazioni immateriali</t>
  </si>
  <si>
    <t xml:space="preserve"> 14) Oneri diversi di gestione</t>
  </si>
  <si>
    <t xml:space="preserve"> Totale attivo circolante (C)</t>
  </si>
  <si>
    <t xml:space="preserve"> B) IMMOBILIZZAZIONI</t>
  </si>
  <si>
    <t xml:space="preserve"> Esigibili oltre l'esercizio successivo</t>
  </si>
  <si>
    <t>Variaz. %</t>
  </si>
  <si>
    <t>Attivo circolante</t>
  </si>
  <si>
    <t>Liquidità immediate</t>
  </si>
  <si>
    <t>Liquidità differite</t>
  </si>
  <si>
    <t>Rimanenze</t>
  </si>
  <si>
    <t>Totale Attivo circolante</t>
  </si>
  <si>
    <t>Attivo immobilizzato</t>
  </si>
  <si>
    <t>Immobilizzazioni immateriali</t>
  </si>
  <si>
    <t>Immobilizzazioni materiali</t>
  </si>
  <si>
    <t>Immobilizzazioni finanziarie</t>
  </si>
  <si>
    <t>Totale Attivo immobilizzato</t>
  </si>
  <si>
    <t>CAPITALE INVESTITO</t>
  </si>
  <si>
    <t>Passività correnti</t>
  </si>
  <si>
    <t>Passività consolidate</t>
  </si>
  <si>
    <t>Patrimonio netto</t>
  </si>
  <si>
    <t>CAPITALE ACQUISITO</t>
  </si>
  <si>
    <t>Ricavi delle vendite e delle prestazioni</t>
  </si>
  <si>
    <t xml:space="preserve"> 14) Altri debiti</t>
  </si>
  <si>
    <t xml:space="preserve"> 4) Debiti verso banche</t>
  </si>
  <si>
    <t xml:space="preserve"> Totale altri debiti (14)</t>
  </si>
  <si>
    <t xml:space="preserve"> II - Immobilizzazioni materiali</t>
  </si>
  <si>
    <t xml:space="preserve"> 9) Per il personale:</t>
  </si>
  <si>
    <t xml:space="preserve"> 7) Per servizi</t>
  </si>
  <si>
    <t xml:space="preserve"> 17) Interessi e altri oneri finanziari</t>
  </si>
  <si>
    <t xml:space="preserve"> Totale debiti verso banche (4)</t>
  </si>
  <si>
    <t xml:space="preserve"> D) DEBITI</t>
  </si>
  <si>
    <t xml:space="preserve"> Totale fondi per rischi e oneri (B)</t>
  </si>
  <si>
    <t xml:space="preserve"> 1) Verso clienti</t>
  </si>
  <si>
    <t xml:space="preserve"> II - Riserva da soprapprezzo delle azioni</t>
  </si>
  <si>
    <t xml:space="preserve"> Imposte correnti</t>
  </si>
  <si>
    <t xml:space="preserve"> A) PATRIMONIO NETTO</t>
  </si>
  <si>
    <t xml:space="preserve"> D) RATEI E RISCONTI</t>
  </si>
  <si>
    <t xml:space="preserve"> IV - Riserva legale</t>
  </si>
  <si>
    <t xml:space="preserve"> E) RATEI E RISCONTI</t>
  </si>
  <si>
    <t xml:space="preserve"> 16) Altri proventi finanziari:</t>
  </si>
  <si>
    <t xml:space="preserve"> III - Immobilizzazioni finanziarie</t>
  </si>
  <si>
    <t xml:space="preserve"> 2) Impianti e macchinario</t>
  </si>
  <si>
    <t xml:space="preserve"> Totale partecipazioni (1)</t>
  </si>
  <si>
    <t xml:space="preserve"> c) Trattamento di fine rapporto</t>
  </si>
  <si>
    <t xml:space="preserve"> IV - Disponibilità liquide</t>
  </si>
  <si>
    <t xml:space="preserve"> b) Ammortamento delle immobilizzazioni materiali</t>
  </si>
  <si>
    <t xml:space="preserve"> 8) Per godimento di beni di terzi</t>
  </si>
  <si>
    <t xml:space="preserve"> Totale debiti verso fornitori (7)</t>
  </si>
  <si>
    <t xml:space="preserve"> 12) Debiti tributari</t>
  </si>
  <si>
    <t xml:space="preserve"> TOTALE ATTIVO</t>
  </si>
  <si>
    <t xml:space="preserve"> C) PROVENTI E ONERI FINANZIARI:</t>
  </si>
  <si>
    <t xml:space="preserve"> C) ATTIVO CIRCOLANTE</t>
  </si>
  <si>
    <t xml:space="preserve"> II) Crediti</t>
  </si>
  <si>
    <t xml:space="preserve"> TOTALE PASSIVO</t>
  </si>
  <si>
    <t xml:space="preserve"> Esigibili entro l'esercizio successivo</t>
  </si>
  <si>
    <t xml:space="preserve"> Totale immobilizzazioni (B)</t>
  </si>
  <si>
    <t xml:space="preserve"> a) Ammortamento delle immobilizzazioni immateriali</t>
  </si>
  <si>
    <t>Descrizione voci</t>
  </si>
  <si>
    <t xml:space="preserve"> a) Salari e stipendi</t>
  </si>
  <si>
    <t xml:space="preserve"> 7) Debiti verso fornitori</t>
  </si>
  <si>
    <t>diff</t>
  </si>
  <si>
    <t>Incremento/(decremento) del fondo T.F.R. (dipend. e amministr.)</t>
  </si>
  <si>
    <t xml:space="preserve"> A) CREDITI VERSO SOCI PER VERSAMENTI ANCORA DOVUTI</t>
  </si>
  <si>
    <t>Rettifiche di valore di attività finanziarie</t>
  </si>
  <si>
    <t>Voci credito e debito non incluse sopra (contrassegnate in Source con VACCN e VPCCN) (+/- 1 a quadratura)</t>
  </si>
  <si>
    <t xml:space="preserve"> 2) Costi di sviluppo</t>
  </si>
  <si>
    <t xml:space="preserve"> Totale immobilizzazioni immateriali</t>
  </si>
  <si>
    <t xml:space="preserve"> Totale immobilizzazioni materiali</t>
  </si>
  <si>
    <t xml:space="preserve"> 1) Partecipazioni in</t>
  </si>
  <si>
    <t xml:space="preserve"> d) Imprese sottoposte al controllo delle controllanti</t>
  </si>
  <si>
    <t xml:space="preserve"> d-bis) Altre imprese</t>
  </si>
  <si>
    <t xml:space="preserve"> d) Verso Imprese sottoposte al controllo delle controllanti</t>
  </si>
  <si>
    <t xml:space="preserve"> Totale crediti verso imprese sottoposte al controllo delle controllanti</t>
  </si>
  <si>
    <t xml:space="preserve"> d-bis) Verso altri</t>
  </si>
  <si>
    <t xml:space="preserve"> Totale Crediti</t>
  </si>
  <si>
    <t xml:space="preserve"> 4) Strumenti finanziari derivati attivi</t>
  </si>
  <si>
    <t xml:space="preserve"> Totale rimanenze</t>
  </si>
  <si>
    <t xml:space="preserve"> Immobilizzazioni materiali destinate alla vendita</t>
  </si>
  <si>
    <t xml:space="preserve"> Totale crediti verso clienti</t>
  </si>
  <si>
    <t xml:space="preserve"> 5) Verso Imprese sottoposte al controllo delle controllanti</t>
  </si>
  <si>
    <t xml:space="preserve"> Totale crediti verso Imprese sottoposte al controllo delle controllanti</t>
  </si>
  <si>
    <t xml:space="preserve"> 5-bis) Crediti tributari</t>
  </si>
  <si>
    <t xml:space="preserve"> Totale crediti tributari</t>
  </si>
  <si>
    <t xml:space="preserve"> 5-ter) Imposte anticipate</t>
  </si>
  <si>
    <t xml:space="preserve"> 5-quater) Verso altri</t>
  </si>
  <si>
    <t xml:space="preserve"> Totale crediti</t>
  </si>
  <si>
    <t xml:space="preserve"> 3-bis) Partecipazioni in imprese sottoposte al controllo delle controllanti</t>
  </si>
  <si>
    <t xml:space="preserve"> 5) Strumenti finanziari derivati attivi</t>
  </si>
  <si>
    <t xml:space="preserve"> Attività finanziarie per la gestione accentrata della tesoreria</t>
  </si>
  <si>
    <t xml:space="preserve"> Totale attività finanziarie che non costituiscono immobilizzazioni</t>
  </si>
  <si>
    <t xml:space="preserve"> Totale disponibilità liquide</t>
  </si>
  <si>
    <t xml:space="preserve"> VI - Altre riserve, distintamente indicate</t>
  </si>
  <si>
    <t xml:space="preserve"> Riserva straordinaria</t>
  </si>
  <si>
    <t xml:space="preserve"> Riserva da deroghe ex articolo 2423 Codice Civile</t>
  </si>
  <si>
    <t xml:space="preserve"> Riserva da rivalutazione delle partecipazioni</t>
  </si>
  <si>
    <t xml:space="preserve"> Riserva per utili su cambi non realizzati</t>
  </si>
  <si>
    <t xml:space="preserve"> Riserva da conguaglio utili in corso</t>
  </si>
  <si>
    <t xml:space="preserve"> Totale altre riserve</t>
  </si>
  <si>
    <t xml:space="preserve"> VII - Riserva per operazioni di copertura dei flussi finanziari attesi</t>
  </si>
  <si>
    <t xml:space="preserve"> Perdita ripianata nell'esercizio</t>
  </si>
  <si>
    <t xml:space="preserve"> X - Riserva negativa per azioni proprie in portafoglio</t>
  </si>
  <si>
    <t xml:space="preserve"> Totale patrimonio netto</t>
  </si>
  <si>
    <t xml:space="preserve"> 3) Strumenti finanziari derivati passivi</t>
  </si>
  <si>
    <t xml:space="preserve"> 4) Altri</t>
  </si>
  <si>
    <t xml:space="preserve"> 11-bis) Debiti verso imprese sottoposte al controllo delle controllanti</t>
  </si>
  <si>
    <t xml:space="preserve"> Totale debiti verso  imprese sottoposte al controllo delle controllantI (11-bis)</t>
  </si>
  <si>
    <t xml:space="preserve"> Totale altri ricavi e proventi</t>
  </si>
  <si>
    <t xml:space="preserve"> Totale valore della produzione</t>
  </si>
  <si>
    <t xml:space="preserve"> Totale costi per il personale</t>
  </si>
  <si>
    <t xml:space="preserve"> Totale ammortamenti e svalutazioni</t>
  </si>
  <si>
    <t xml:space="preserve"> Totale costi della produzione</t>
  </si>
  <si>
    <t xml:space="preserve"> Da imprese controllanti </t>
  </si>
  <si>
    <t xml:space="preserve"> Da imprese sottoposte al controllo delle controllanti</t>
  </si>
  <si>
    <t xml:space="preserve"> Totale proventi diversi dai precedenti</t>
  </si>
  <si>
    <t xml:space="preserve"> Totale altri proventi finanziari</t>
  </si>
  <si>
    <t xml:space="preserve"> - verso imprese controllate</t>
  </si>
  <si>
    <t xml:space="preserve"> - verso imprese collegate</t>
  </si>
  <si>
    <t xml:space="preserve"> - verso imprese controllanti</t>
  </si>
  <si>
    <t xml:space="preserve"> - verso  imprese sottoposte al controllo delle controllanti</t>
  </si>
  <si>
    <t xml:space="preserve"> Totale interessi e altri oneri finanziari</t>
  </si>
  <si>
    <t xml:space="preserve"> D) RETTIFICHE DI VALORE DI ATTIVITA' E PASSIVITA' FINANZIARIE:</t>
  </si>
  <si>
    <t xml:space="preserve"> d) Di strumenti finanziari derivati</t>
  </si>
  <si>
    <t xml:space="preserve"> di attività finanziarie per la gestione accentrata della tesoreria</t>
  </si>
  <si>
    <t xml:space="preserve"> Totale rivalutazioni</t>
  </si>
  <si>
    <t xml:space="preserve"> Totale svalutazioni</t>
  </si>
  <si>
    <t xml:space="preserve"> Totale rettifiche di valore di attività e passività finanziarie (18-19)</t>
  </si>
  <si>
    <t xml:space="preserve"> RISULTATO PRIMA DELLE IMPOSTE (A-B+-C+-D)</t>
  </si>
  <si>
    <t xml:space="preserve"> 20) Imposte sul reddito dell'esercizio, correnti, differite e anticipate</t>
  </si>
  <si>
    <t xml:space="preserve"> Imposte differite e anticipate</t>
  </si>
  <si>
    <t xml:space="preserve"> Totale delle imposte sul reddito dell'esercizio, correnti, differite e anticipate</t>
  </si>
  <si>
    <t xml:space="preserve"> 21) UTILE (PERDITA) D'ESERCIZIO</t>
  </si>
  <si>
    <t>RRP</t>
  </si>
  <si>
    <t>Da foglio Source: 2016-2015</t>
  </si>
  <si>
    <t>Da foglio Source: Totale fondi per rischi e oneri 2016-2015</t>
  </si>
  <si>
    <t>Da foglio Source: variazione netta 2015-2016- ammortamenti</t>
  </si>
  <si>
    <t>Da foglio Source: variazione netta 2015-2016</t>
  </si>
  <si>
    <t>Da foglio Source: variazione netta 2016-2015 escluso utile 2015 (+/- 1 a quadratura)</t>
  </si>
  <si>
    <t>Da foglio Source: variazione netta 2016-2015 (Obbligazioni; Obbligazioni convertibili; Fin soci; Banche; Altri finanziatori)</t>
  </si>
  <si>
    <t xml:space="preserve">Disponibilità liquide al 1 gennaio </t>
  </si>
  <si>
    <t xml:space="preserve">Disponibilità liquide al 31 dicembre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</si>
</sst>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* #,##0.00;* \-#,##0.00;* &quot;-&quot;??;@"/>
    <numFmt numFmtId="165" formatCode="##,###,###,##0;\-##,###,###,##0"/>
    <numFmt numFmtId="166" formatCode="* #,##0;* \-#,##0;* &quot;-&quot;??;@"/>
    <numFmt numFmtId="167" formatCode="_-* #,##0.00\ _€_-;\-* #,##0.00\ _€_-;_-* &quot;-&quot;??\ _€_-;_-@_-"/>
  </numFmts>
  <fonts count="29" x14ac:knownFonts="1">
    <font>
      <sz val="10"/>
      <name val="Times New Roman"/>
    </font>
    <font>
      <b/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8"/>
      <color rgb="FF002060"/>
      <name val="Verdana"/>
      <family val="2"/>
    </font>
    <font>
      <sz val="8"/>
      <color rgb="FF002060"/>
      <name val="Verdana"/>
      <family val="2"/>
    </font>
    <font>
      <b/>
      <u val="singleAccounting"/>
      <sz val="8"/>
      <color rgb="FF002060"/>
      <name val="Verdana"/>
      <family val="2"/>
    </font>
    <font>
      <b/>
      <sz val="9"/>
      <color theme="9" tint="0.79998168889431442"/>
      <name val="Arial Narrow"/>
      <family val="2"/>
    </font>
    <font>
      <b/>
      <u val="singleAccounting"/>
      <sz val="8"/>
      <color rgb="FFFF0000"/>
      <name val="Verdana"/>
      <family val="2"/>
    </font>
    <font>
      <sz val="12"/>
      <color rgb="FF002060"/>
      <name val="Malgun Gothic Semilight"/>
      <family val="2"/>
    </font>
    <font>
      <b/>
      <u/>
      <sz val="12"/>
      <color rgb="FF002060"/>
      <name val="Malgun Gothic Semilight"/>
      <family val="2"/>
    </font>
    <font>
      <b/>
      <sz val="12"/>
      <color rgb="FF002060"/>
      <name val="Malgun Gothic Semilight"/>
      <family val="2"/>
    </font>
    <font>
      <i/>
      <sz val="12"/>
      <color rgb="FF002060"/>
      <name val="Malgun Gothic Semilight"/>
      <family val="2"/>
    </font>
    <font>
      <sz val="11"/>
      <color rgb="FF002060"/>
      <name val="Malgun Gothic Semilight"/>
      <family val="2"/>
    </font>
    <font>
      <sz val="10"/>
      <color rgb="FF002060"/>
      <name val="Malgun Gothic Semilight"/>
      <family val="2"/>
    </font>
    <font>
      <sz val="10"/>
      <color rgb="FF002060"/>
      <name val="Times New Roman"/>
      <family val="1"/>
    </font>
    <font>
      <sz val="8"/>
      <name val="Times New Roman"/>
      <family val="1"/>
    </font>
    <font>
      <sz val="12"/>
      <color rgb="FF002060"/>
      <name val="Times New Roman"/>
      <family val="1"/>
    </font>
    <font>
      <sz val="12"/>
      <color rgb="FFFF0000"/>
      <name val="Malgun Gothic Semilight"/>
      <family val="2"/>
    </font>
    <font>
      <b/>
      <sz val="8"/>
      <color theme="9" tint="0.79998168889431442"/>
      <name val="Arial Narrow"/>
      <family val="2"/>
    </font>
    <font>
      <sz val="9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37" fontId="3" fillId="0" borderId="0" xfId="0" applyNumberFormat="1" applyFont="1"/>
    <xf numFmtId="37" fontId="3" fillId="0" borderId="0" xfId="0" applyNumberFormat="1" applyFont="1" applyAlignment="1">
      <alignment vertical="top"/>
    </xf>
    <xf numFmtId="37" fontId="3" fillId="0" borderId="0" xfId="0" applyNumberFormat="1" applyFont="1" applyAlignment="1">
      <alignment vertical="top" wrapText="1"/>
    </xf>
    <xf numFmtId="9" fontId="3" fillId="0" borderId="0" xfId="0" applyNumberFormat="1" applyFont="1" applyAlignment="1">
      <alignment vertical="top"/>
    </xf>
    <xf numFmtId="37" fontId="3" fillId="0" borderId="2" xfId="0" applyNumberFormat="1" applyFont="1" applyBorder="1" applyAlignment="1">
      <alignment vertical="top"/>
    </xf>
    <xf numFmtId="9" fontId="3" fillId="0" borderId="2" xfId="0" applyNumberFormat="1" applyFont="1" applyBorder="1" applyAlignment="1">
      <alignment vertical="top"/>
    </xf>
    <xf numFmtId="9" fontId="3" fillId="0" borderId="3" xfId="0" applyNumberFormat="1" applyFont="1" applyBorder="1" applyAlignment="1">
      <alignment vertical="top"/>
    </xf>
    <xf numFmtId="37" fontId="3" fillId="0" borderId="1" xfId="0" applyNumberFormat="1" applyFont="1" applyBorder="1" applyAlignment="1">
      <alignment vertical="top"/>
    </xf>
    <xf numFmtId="9" fontId="3" fillId="0" borderId="1" xfId="0" applyNumberFormat="1" applyFont="1" applyBorder="1" applyAlignment="1">
      <alignment vertical="top"/>
    </xf>
    <xf numFmtId="37" fontId="5" fillId="0" borderId="0" xfId="0" applyNumberFormat="1" applyFont="1" applyAlignment="1">
      <alignment vertical="top"/>
    </xf>
    <xf numFmtId="0" fontId="5" fillId="0" borderId="0" xfId="0" applyFont="1"/>
    <xf numFmtId="0" fontId="4" fillId="0" borderId="0" xfId="0" applyFont="1" applyAlignment="1">
      <alignment vertical="top" wrapText="1"/>
    </xf>
    <xf numFmtId="37" fontId="3" fillId="0" borderId="0" xfId="0" applyNumberFormat="1" applyFont="1" applyAlignment="1">
      <alignment wrapText="1"/>
    </xf>
    <xf numFmtId="9" fontId="3" fillId="0" borderId="0" xfId="3" applyFont="1" applyFill="1"/>
    <xf numFmtId="0" fontId="3" fillId="0" borderId="0" xfId="0" applyFont="1" applyAlignment="1">
      <alignment vertical="top"/>
    </xf>
    <xf numFmtId="9" fontId="3" fillId="0" borderId="0" xfId="3" applyFont="1" applyFill="1" applyAlignment="1">
      <alignment vertical="top" wrapText="1"/>
    </xf>
    <xf numFmtId="37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37" fontId="3" fillId="0" borderId="2" xfId="0" applyNumberFormat="1" applyFont="1" applyBorder="1" applyAlignment="1">
      <alignment vertical="top" wrapText="1"/>
    </xf>
    <xf numFmtId="9" fontId="3" fillId="0" borderId="2" xfId="3" applyFont="1" applyFill="1" applyBorder="1" applyAlignment="1">
      <alignment vertical="top" wrapText="1"/>
    </xf>
    <xf numFmtId="9" fontId="3" fillId="0" borderId="0" xfId="3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9" fontId="3" fillId="0" borderId="2" xfId="3" applyFont="1" applyFill="1" applyBorder="1" applyAlignment="1">
      <alignment vertical="top"/>
    </xf>
    <xf numFmtId="9" fontId="3" fillId="0" borderId="1" xfId="3" applyFont="1" applyFill="1" applyBorder="1" applyAlignment="1">
      <alignment vertical="top"/>
    </xf>
    <xf numFmtId="0" fontId="3" fillId="0" borderId="0" xfId="0" applyFont="1" applyAlignment="1">
      <alignment horizontal="right"/>
    </xf>
    <xf numFmtId="37" fontId="6" fillId="0" borderId="0" xfId="0" applyNumberFormat="1" applyFont="1" applyAlignment="1">
      <alignment vertical="top"/>
    </xf>
    <xf numFmtId="37" fontId="3" fillId="0" borderId="4" xfId="0" quotePrefix="1" applyNumberFormat="1" applyFont="1" applyBorder="1" applyAlignment="1">
      <alignment horizontal="center" vertical="top"/>
    </xf>
    <xf numFmtId="165" fontId="0" fillId="0" borderId="0" xfId="0" applyNumberFormat="1"/>
    <xf numFmtId="37" fontId="8" fillId="0" borderId="4" xfId="0" applyNumberFormat="1" applyFont="1" applyBorder="1" applyAlignment="1">
      <alignment horizontal="center" vertical="top"/>
    </xf>
    <xf numFmtId="37" fontId="8" fillId="0" borderId="0" xfId="0" applyNumberFormat="1" applyFont="1" applyAlignment="1">
      <alignment vertical="top"/>
    </xf>
    <xf numFmtId="37" fontId="9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166" fontId="11" fillId="0" borderId="0" xfId="1" applyNumberFormat="1" applyFont="1" applyAlignment="1" applyProtection="1">
      <alignment vertical="top"/>
    </xf>
    <xf numFmtId="166" fontId="11" fillId="0" borderId="0" xfId="1" applyNumberFormat="1" applyFont="1" applyAlignment="1" applyProtection="1">
      <alignment vertical="top"/>
      <protection locked="0"/>
    </xf>
    <xf numFmtId="14" fontId="10" fillId="0" borderId="0" xfId="1" applyNumberFormat="1" applyFont="1" applyAlignment="1" applyProtection="1">
      <alignment horizontal="center" vertical="top"/>
      <protection locked="0"/>
    </xf>
    <xf numFmtId="164" fontId="11" fillId="0" borderId="0" xfId="1" applyFont="1" applyAlignment="1" applyProtection="1">
      <alignment vertical="top"/>
    </xf>
    <xf numFmtId="164" fontId="12" fillId="0" borderId="0" xfId="1" applyFont="1" applyAlignment="1" applyProtection="1">
      <alignment horizontal="center" vertical="top"/>
      <protection locked="0"/>
    </xf>
    <xf numFmtId="164" fontId="13" fillId="0" borderId="0" xfId="1" applyFont="1" applyAlignment="1" applyProtection="1">
      <alignment vertical="top"/>
    </xf>
    <xf numFmtId="164" fontId="14" fillId="0" borderId="0" xfId="1" applyFont="1" applyAlignment="1" applyProtection="1">
      <alignment vertical="top"/>
    </xf>
    <xf numFmtId="164" fontId="13" fillId="0" borderId="0" xfId="1" applyFont="1" applyAlignment="1" applyProtection="1">
      <alignment vertical="top"/>
      <protection locked="0"/>
    </xf>
    <xf numFmtId="166" fontId="13" fillId="0" borderId="0" xfId="1" applyNumberFormat="1" applyFont="1" applyAlignment="1" applyProtection="1">
      <alignment vertical="top"/>
      <protection locked="0"/>
    </xf>
    <xf numFmtId="14" fontId="12" fillId="0" borderId="0" xfId="1" applyNumberFormat="1" applyFont="1" applyAlignment="1" applyProtection="1">
      <alignment horizontal="center" vertical="top"/>
      <protection locked="0"/>
    </xf>
    <xf numFmtId="166" fontId="13" fillId="0" borderId="0" xfId="1" applyNumberFormat="1" applyFont="1" applyAlignment="1" applyProtection="1">
      <alignment vertical="top"/>
    </xf>
    <xf numFmtId="167" fontId="15" fillId="3" borderId="0" xfId="0" applyNumberFormat="1" applyFont="1" applyFill="1"/>
    <xf numFmtId="164" fontId="16" fillId="0" borderId="0" xfId="1" applyFont="1" applyAlignment="1" applyProtection="1">
      <alignment vertical="top"/>
    </xf>
    <xf numFmtId="37" fontId="17" fillId="0" borderId="0" xfId="0" applyNumberFormat="1" applyFont="1" applyAlignment="1">
      <alignment vertical="top"/>
    </xf>
    <xf numFmtId="37" fontId="17" fillId="0" borderId="0" xfId="0" applyNumberFormat="1" applyFont="1" applyAlignment="1">
      <alignment vertical="top" wrapText="1"/>
    </xf>
    <xf numFmtId="166" fontId="17" fillId="0" borderId="0" xfId="1" applyNumberFormat="1" applyFont="1" applyFill="1" applyAlignment="1">
      <alignment vertical="top"/>
    </xf>
    <xf numFmtId="37" fontId="18" fillId="0" borderId="0" xfId="0" applyNumberFormat="1" applyFont="1" applyAlignment="1">
      <alignment vertical="top"/>
    </xf>
    <xf numFmtId="166" fontId="17" fillId="0" borderId="4" xfId="1" quotePrefix="1" applyNumberFormat="1" applyFont="1" applyFill="1" applyBorder="1" applyAlignment="1">
      <alignment horizontal="center" vertical="top"/>
    </xf>
    <xf numFmtId="166" fontId="17" fillId="0" borderId="1" xfId="1" applyNumberFormat="1" applyFont="1" applyFill="1" applyBorder="1" applyAlignment="1">
      <alignment horizontal="center" vertical="center" wrapText="1"/>
    </xf>
    <xf numFmtId="37" fontId="19" fillId="0" borderId="0" xfId="0" applyNumberFormat="1" applyFont="1" applyAlignment="1">
      <alignment vertical="top"/>
    </xf>
    <xf numFmtId="0" fontId="19" fillId="0" borderId="0" xfId="0" applyFont="1" applyAlignment="1">
      <alignment wrapText="1"/>
    </xf>
    <xf numFmtId="166" fontId="19" fillId="0" borderId="0" xfId="1" applyNumberFormat="1" applyFont="1" applyFill="1" applyAlignment="1">
      <alignment vertical="top"/>
    </xf>
    <xf numFmtId="37" fontId="20" fillId="0" borderId="0" xfId="0" applyNumberFormat="1" applyFont="1" applyAlignment="1">
      <alignment vertical="top" wrapText="1"/>
    </xf>
    <xf numFmtId="166" fontId="17" fillId="0" borderId="0" xfId="1" applyNumberFormat="1" applyFont="1" applyFill="1" applyBorder="1" applyAlignment="1">
      <alignment vertical="top"/>
    </xf>
    <xf numFmtId="166" fontId="17" fillId="0" borderId="1" xfId="1" applyNumberFormat="1" applyFont="1" applyFill="1" applyBorder="1" applyAlignment="1">
      <alignment vertical="top"/>
    </xf>
    <xf numFmtId="0" fontId="21" fillId="0" borderId="0" xfId="0" applyFont="1"/>
    <xf numFmtId="0" fontId="22" fillId="0" borderId="0" xfId="0" applyFont="1"/>
    <xf numFmtId="37" fontId="19" fillId="0" borderId="0" xfId="0" applyNumberFormat="1" applyFont="1" applyAlignment="1">
      <alignment vertical="top" wrapText="1"/>
    </xf>
    <xf numFmtId="37" fontId="17" fillId="0" borderId="0" xfId="0" applyNumberFormat="1" applyFont="1" applyAlignment="1">
      <alignment horizontal="right" vertical="top" wrapText="1"/>
    </xf>
    <xf numFmtId="164" fontId="12" fillId="0" borderId="0" xfId="1" applyFont="1" applyAlignment="1" applyProtection="1">
      <alignment vertical="top"/>
    </xf>
    <xf numFmtId="0" fontId="23" fillId="0" borderId="0" xfId="0" applyFont="1" applyAlignment="1">
      <alignment horizontal="center"/>
    </xf>
    <xf numFmtId="164" fontId="0" fillId="0" borderId="0" xfId="0" applyNumberFormat="1"/>
    <xf numFmtId="166" fontId="24" fillId="0" borderId="0" xfId="1" applyNumberFormat="1" applyFont="1"/>
    <xf numFmtId="0" fontId="25" fillId="0" borderId="1" xfId="0" applyFont="1" applyBorder="1" applyAlignment="1">
      <alignment horizontal="center" vertical="center" wrapText="1"/>
    </xf>
    <xf numFmtId="37" fontId="25" fillId="0" borderId="0" xfId="0" applyNumberFormat="1" applyFont="1"/>
    <xf numFmtId="37" fontId="25" fillId="0" borderId="0" xfId="0" applyNumberFormat="1" applyFont="1" applyAlignment="1">
      <alignment vertical="top" wrapText="1"/>
    </xf>
    <xf numFmtId="37" fontId="25" fillId="0" borderId="0" xfId="0" applyNumberFormat="1" applyFont="1" applyAlignment="1">
      <alignment vertical="center" wrapText="1"/>
    </xf>
    <xf numFmtId="37" fontId="25" fillId="0" borderId="2" xfId="0" applyNumberFormat="1" applyFont="1" applyBorder="1" applyAlignment="1">
      <alignment vertical="top" wrapText="1"/>
    </xf>
    <xf numFmtId="37" fontId="25" fillId="0" borderId="2" xfId="0" applyNumberFormat="1" applyFont="1" applyBorder="1" applyAlignment="1">
      <alignment vertical="top"/>
    </xf>
    <xf numFmtId="37" fontId="25" fillId="0" borderId="1" xfId="0" applyNumberFormat="1" applyFont="1" applyBorder="1" applyAlignment="1">
      <alignment vertical="top"/>
    </xf>
    <xf numFmtId="0" fontId="25" fillId="0" borderId="0" xfId="0" applyFont="1"/>
    <xf numFmtId="37" fontId="25" fillId="0" borderId="0" xfId="0" applyNumberFormat="1" applyFont="1" applyAlignment="1">
      <alignment vertical="top"/>
    </xf>
    <xf numFmtId="166" fontId="26" fillId="0" borderId="0" xfId="1" applyNumberFormat="1" applyFont="1" applyFill="1" applyAlignment="1">
      <alignment vertical="top"/>
    </xf>
    <xf numFmtId="167" fontId="27" fillId="3" borderId="0" xfId="0" applyNumberFormat="1" applyFont="1" applyFill="1"/>
    <xf numFmtId="167" fontId="24" fillId="0" borderId="0" xfId="0" applyNumberFormat="1" applyFont="1"/>
    <xf numFmtId="167" fontId="28" fillId="0" borderId="0" xfId="0" applyNumberFormat="1" applyFont="1"/>
    <xf numFmtId="164" fontId="14" fillId="0" borderId="4" xfId="1" applyFont="1" applyBorder="1" applyAlignment="1" applyProtection="1">
      <alignment vertical="top"/>
    </xf>
    <xf numFmtId="166" fontId="17" fillId="0" borderId="0" xfId="1" applyNumberFormat="1" applyFont="1" applyFill="1" applyAlignment="1">
      <alignment horizontal="left" vertical="top"/>
    </xf>
    <xf numFmtId="37" fontId="19" fillId="0" borderId="0" xfId="0" applyNumberFormat="1" applyFont="1" applyAlignment="1">
      <alignment horizontal="left" vertical="top" wrapText="1"/>
    </xf>
  </cellXfs>
  <cellStyles count="4">
    <cellStyle name="Migliaia" xfId="1" builtinId="3"/>
    <cellStyle name="Normale" xfId="0" builtinId="0"/>
    <cellStyle name="Normale 2" xfId="2" xr:uid="{00000000-0005-0000-0000-000002000000}"/>
    <cellStyle name="Percentuale" xfId="3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472C"/>
      <color rgb="FF003B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2354407</xdr:colOff>
      <xdr:row>8</xdr:row>
      <xdr:rowOff>29441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A567DDC3-F33F-49FE-A16C-C96FC55A6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259157" cy="185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8"/>
  <sheetViews>
    <sheetView zoomScale="130" zoomScaleNormal="130" workbookViewId="0">
      <pane ySplit="1" topLeftCell="A287" activePane="bottomLeft" state="frozen"/>
      <selection activeCell="D43" sqref="D43"/>
      <selection pane="bottomLeft" activeCell="C304" sqref="C304"/>
    </sheetView>
  </sheetViews>
  <sheetFormatPr defaultColWidth="10.6640625" defaultRowHeight="14.1" customHeight="1" x14ac:dyDescent="0.2"/>
  <cols>
    <col min="1" max="1" width="80.33203125" style="45" customWidth="1"/>
    <col min="2" max="3" width="15.83203125" style="39" customWidth="1"/>
    <col min="4" max="4" width="15.83203125" style="39" hidden="1" customWidth="1"/>
    <col min="5" max="6" width="9.5" style="35" customWidth="1"/>
    <col min="7" max="7" width="10.6640625" customWidth="1"/>
    <col min="8" max="9" width="14.5" bestFit="1" customWidth="1"/>
    <col min="10" max="255" width="10.6640625" customWidth="1"/>
  </cols>
  <sheetData>
    <row r="1" spans="1:16" ht="14.1" customHeight="1" x14ac:dyDescent="0.25">
      <c r="A1" s="42" t="s">
        <v>253</v>
      </c>
      <c r="B1" s="47">
        <v>45657</v>
      </c>
      <c r="C1" s="47">
        <v>45291</v>
      </c>
      <c r="D1" s="40">
        <v>43830</v>
      </c>
      <c r="E1" s="35" t="s">
        <v>14</v>
      </c>
      <c r="F1" s="35" t="s">
        <v>0</v>
      </c>
      <c r="N1" s="81">
        <f>+N212</f>
        <v>0</v>
      </c>
      <c r="O1" s="81">
        <f t="shared" ref="O1:P1" si="0">+O212</f>
        <v>0</v>
      </c>
      <c r="P1" s="81">
        <f t="shared" si="0"/>
        <v>0</v>
      </c>
    </row>
    <row r="2" spans="1:16" ht="14.1" customHeight="1" x14ac:dyDescent="0.25">
      <c r="A2" s="43" t="s">
        <v>258</v>
      </c>
      <c r="B2" s="48"/>
      <c r="C2" s="48"/>
      <c r="D2" s="38"/>
      <c r="N2" s="81">
        <f>+N213</f>
        <v>0</v>
      </c>
      <c r="O2" s="81">
        <f t="shared" ref="O2:P2" si="1">+O213</f>
        <v>0</v>
      </c>
      <c r="P2" s="81">
        <f t="shared" si="1"/>
        <v>0</v>
      </c>
    </row>
    <row r="3" spans="1:16" ht="14.1" customHeight="1" x14ac:dyDescent="0.2">
      <c r="A3" s="43" t="s">
        <v>102</v>
      </c>
      <c r="B3" s="43">
        <v>0</v>
      </c>
      <c r="C3" s="43">
        <v>0</v>
      </c>
      <c r="D3" s="41">
        <v>0</v>
      </c>
    </row>
    <row r="4" spans="1:16" ht="14.1" customHeight="1" x14ac:dyDescent="0.2">
      <c r="A4" s="43" t="s">
        <v>103</v>
      </c>
      <c r="B4" s="43">
        <v>0</v>
      </c>
      <c r="C4" s="43">
        <v>0</v>
      </c>
      <c r="D4" s="41">
        <v>0</v>
      </c>
    </row>
    <row r="5" spans="1:16" ht="14.1" customHeight="1" x14ac:dyDescent="0.2">
      <c r="A5" s="67" t="s">
        <v>104</v>
      </c>
      <c r="B5" s="67">
        <v>0</v>
      </c>
      <c r="C5" s="67">
        <v>0</v>
      </c>
      <c r="D5" s="41">
        <v>0</v>
      </c>
      <c r="E5" s="35" t="s">
        <v>32</v>
      </c>
    </row>
    <row r="6" spans="1:16" ht="14.1" customHeight="1" x14ac:dyDescent="0.2">
      <c r="A6" s="43" t="s">
        <v>199</v>
      </c>
      <c r="B6" s="43"/>
      <c r="C6" s="43"/>
      <c r="D6" s="41"/>
    </row>
    <row r="7" spans="1:16" ht="14.1" customHeight="1" x14ac:dyDescent="0.2">
      <c r="A7" s="43" t="s">
        <v>196</v>
      </c>
      <c r="B7" s="43"/>
      <c r="C7" s="43"/>
      <c r="D7" s="41"/>
    </row>
    <row r="8" spans="1:16" ht="14.1" customHeight="1" x14ac:dyDescent="0.2">
      <c r="A8" s="43" t="s">
        <v>105</v>
      </c>
      <c r="B8" s="43">
        <v>0</v>
      </c>
      <c r="C8" s="43">
        <v>0</v>
      </c>
      <c r="D8" s="41">
        <v>0</v>
      </c>
    </row>
    <row r="9" spans="1:16" ht="14.1" customHeight="1" x14ac:dyDescent="0.2">
      <c r="A9" s="43" t="s">
        <v>261</v>
      </c>
      <c r="B9" s="43">
        <v>0</v>
      </c>
      <c r="C9" s="43">
        <v>0</v>
      </c>
      <c r="D9" s="41">
        <v>0</v>
      </c>
    </row>
    <row r="10" spans="1:16" ht="14.1" customHeight="1" x14ac:dyDescent="0.2">
      <c r="A10" s="43" t="s">
        <v>24</v>
      </c>
      <c r="B10" s="43">
        <v>0</v>
      </c>
      <c r="C10" s="43">
        <v>0</v>
      </c>
      <c r="D10" s="41">
        <v>0</v>
      </c>
    </row>
    <row r="11" spans="1:16" ht="14.1" customHeight="1" x14ac:dyDescent="0.2">
      <c r="A11" s="43" t="s">
        <v>175</v>
      </c>
      <c r="B11" s="43">
        <v>0</v>
      </c>
      <c r="C11" s="43">
        <v>0</v>
      </c>
      <c r="D11" s="41">
        <v>0</v>
      </c>
    </row>
    <row r="12" spans="1:16" ht="14.1" customHeight="1" x14ac:dyDescent="0.2">
      <c r="A12" s="43" t="s">
        <v>106</v>
      </c>
      <c r="B12" s="43">
        <v>0</v>
      </c>
      <c r="C12" s="43">
        <v>0</v>
      </c>
      <c r="D12" s="41">
        <v>0</v>
      </c>
    </row>
    <row r="13" spans="1:16" ht="14.1" customHeight="1" x14ac:dyDescent="0.2">
      <c r="A13" s="43" t="s">
        <v>172</v>
      </c>
      <c r="B13" s="43">
        <v>0</v>
      </c>
      <c r="C13" s="43">
        <v>0</v>
      </c>
      <c r="D13" s="41">
        <v>0</v>
      </c>
    </row>
    <row r="14" spans="1:16" ht="14.1" customHeight="1" x14ac:dyDescent="0.2">
      <c r="A14" s="43" t="s">
        <v>162</v>
      </c>
      <c r="B14" s="43">
        <v>0</v>
      </c>
      <c r="C14" s="43">
        <v>0</v>
      </c>
      <c r="D14" s="41">
        <v>0</v>
      </c>
    </row>
    <row r="15" spans="1:16" ht="14.1" customHeight="1" x14ac:dyDescent="0.2">
      <c r="A15" s="43" t="s">
        <v>262</v>
      </c>
      <c r="B15" s="43">
        <f>+SUM(B7:B14)</f>
        <v>0</v>
      </c>
      <c r="C15" s="43">
        <f>+SUM(C7:C14)</f>
        <v>0</v>
      </c>
      <c r="D15" s="41">
        <f>+SUM(D7:D14)</f>
        <v>0</v>
      </c>
      <c r="E15" s="35" t="s">
        <v>156</v>
      </c>
      <c r="F15" s="35" t="s">
        <v>156</v>
      </c>
      <c r="G15" s="31">
        <f>+C15-B15</f>
        <v>0</v>
      </c>
    </row>
    <row r="16" spans="1:16" ht="14.1" customHeight="1" x14ac:dyDescent="0.2">
      <c r="A16" s="43" t="s">
        <v>221</v>
      </c>
      <c r="B16" s="43"/>
      <c r="C16" s="43"/>
      <c r="D16" s="41"/>
      <c r="G16" s="31"/>
    </row>
    <row r="17" spans="1:6" ht="14.1" customHeight="1" x14ac:dyDescent="0.2">
      <c r="A17" s="43" t="s">
        <v>164</v>
      </c>
      <c r="B17" s="43">
        <v>0</v>
      </c>
      <c r="C17" s="43">
        <v>0</v>
      </c>
      <c r="D17" s="41">
        <v>0</v>
      </c>
    </row>
    <row r="18" spans="1:6" ht="14.1" customHeight="1" x14ac:dyDescent="0.2">
      <c r="A18" s="43" t="s">
        <v>237</v>
      </c>
      <c r="B18" s="43">
        <v>0</v>
      </c>
      <c r="C18" s="43">
        <v>0</v>
      </c>
      <c r="D18" s="41">
        <v>0</v>
      </c>
    </row>
    <row r="19" spans="1:6" ht="14.1" customHeight="1" x14ac:dyDescent="0.2">
      <c r="A19" s="43" t="s">
        <v>165</v>
      </c>
      <c r="B19" s="43">
        <v>0</v>
      </c>
      <c r="C19" s="43">
        <v>0</v>
      </c>
      <c r="D19" s="41">
        <v>0</v>
      </c>
    </row>
    <row r="20" spans="1:6" ht="14.1" customHeight="1" x14ac:dyDescent="0.2">
      <c r="A20" s="43" t="s">
        <v>181</v>
      </c>
      <c r="B20" s="43">
        <v>1</v>
      </c>
      <c r="C20" s="43">
        <v>1</v>
      </c>
      <c r="D20" s="41">
        <v>1</v>
      </c>
    </row>
    <row r="21" spans="1:6" ht="14.1" customHeight="1" x14ac:dyDescent="0.2">
      <c r="A21" s="43" t="s">
        <v>107</v>
      </c>
      <c r="B21" s="43">
        <v>0</v>
      </c>
      <c r="C21" s="43">
        <v>0</v>
      </c>
      <c r="D21" s="41">
        <v>0</v>
      </c>
    </row>
    <row r="22" spans="1:6" ht="14.1" customHeight="1" x14ac:dyDescent="0.2">
      <c r="A22" s="43" t="s">
        <v>263</v>
      </c>
      <c r="B22" s="43">
        <f>+SUM(B17:B21)</f>
        <v>1</v>
      </c>
      <c r="C22" s="43">
        <f>+SUM(C17:C21)</f>
        <v>1</v>
      </c>
      <c r="D22" s="41">
        <f>+SUM(D17:D21)</f>
        <v>1</v>
      </c>
      <c r="E22" s="37" t="s">
        <v>157</v>
      </c>
      <c r="F22" s="35" t="s">
        <v>157</v>
      </c>
    </row>
    <row r="23" spans="1:6" ht="14.1" customHeight="1" x14ac:dyDescent="0.2">
      <c r="A23" s="43" t="s">
        <v>236</v>
      </c>
      <c r="B23" s="43"/>
      <c r="C23" s="43"/>
      <c r="D23" s="41"/>
    </row>
    <row r="24" spans="1:6" ht="14.1" customHeight="1" x14ac:dyDescent="0.2">
      <c r="A24" s="43" t="s">
        <v>264</v>
      </c>
      <c r="B24" s="43"/>
      <c r="C24" s="43"/>
      <c r="D24" s="41"/>
    </row>
    <row r="25" spans="1:6" ht="14.1" customHeight="1" x14ac:dyDescent="0.2">
      <c r="A25" s="43" t="s">
        <v>108</v>
      </c>
      <c r="B25" s="43">
        <v>0</v>
      </c>
      <c r="C25" s="43">
        <v>0</v>
      </c>
      <c r="D25" s="41">
        <v>0</v>
      </c>
    </row>
    <row r="26" spans="1:6" ht="14.1" customHeight="1" x14ac:dyDescent="0.2">
      <c r="A26" s="43" t="s">
        <v>109</v>
      </c>
      <c r="B26" s="43">
        <v>0</v>
      </c>
      <c r="C26" s="43">
        <v>0</v>
      </c>
      <c r="D26" s="41">
        <v>0</v>
      </c>
    </row>
    <row r="27" spans="1:6" ht="14.1" customHeight="1" x14ac:dyDescent="0.2">
      <c r="A27" s="43" t="s">
        <v>110</v>
      </c>
      <c r="B27" s="43">
        <v>0</v>
      </c>
      <c r="C27" s="43">
        <v>0</v>
      </c>
      <c r="D27" s="41">
        <v>0</v>
      </c>
    </row>
    <row r="28" spans="1:6" ht="14.1" customHeight="1" x14ac:dyDescent="0.2">
      <c r="A28" s="43" t="s">
        <v>265</v>
      </c>
      <c r="B28" s="43">
        <v>0</v>
      </c>
      <c r="C28" s="43">
        <v>0</v>
      </c>
      <c r="D28" s="41">
        <v>0</v>
      </c>
    </row>
    <row r="29" spans="1:6" ht="14.1" customHeight="1" x14ac:dyDescent="0.2">
      <c r="A29" s="43" t="s">
        <v>266</v>
      </c>
      <c r="B29" s="43">
        <v>0</v>
      </c>
      <c r="C29" s="43">
        <v>0</v>
      </c>
      <c r="D29" s="41">
        <v>0</v>
      </c>
    </row>
    <row r="30" spans="1:6" ht="14.1" customHeight="1" x14ac:dyDescent="0.2">
      <c r="A30" s="43" t="s">
        <v>238</v>
      </c>
      <c r="B30" s="43">
        <v>0</v>
      </c>
      <c r="C30" s="43">
        <v>0</v>
      </c>
      <c r="D30" s="41">
        <v>0</v>
      </c>
    </row>
    <row r="31" spans="1:6" ht="14.1" customHeight="1" x14ac:dyDescent="0.2">
      <c r="A31" s="43" t="s">
        <v>111</v>
      </c>
      <c r="B31" s="43"/>
      <c r="C31" s="43"/>
      <c r="D31" s="41"/>
    </row>
    <row r="32" spans="1:6" ht="14.1" customHeight="1" x14ac:dyDescent="0.2">
      <c r="A32" s="43" t="s">
        <v>112</v>
      </c>
      <c r="B32" s="43"/>
      <c r="C32" s="43"/>
      <c r="D32" s="41"/>
    </row>
    <row r="33" spans="1:5" ht="14.1" customHeight="1" x14ac:dyDescent="0.2">
      <c r="A33" s="43" t="s">
        <v>250</v>
      </c>
      <c r="B33" s="43">
        <v>0</v>
      </c>
      <c r="C33" s="43">
        <v>0</v>
      </c>
      <c r="D33" s="41">
        <v>0</v>
      </c>
    </row>
    <row r="34" spans="1:5" ht="14.1" customHeight="1" x14ac:dyDescent="0.2">
      <c r="A34" s="43" t="s">
        <v>200</v>
      </c>
      <c r="B34" s="43">
        <v>0</v>
      </c>
      <c r="C34" s="43">
        <v>0</v>
      </c>
      <c r="D34" s="41">
        <v>0</v>
      </c>
    </row>
    <row r="35" spans="1:5" ht="14.1" customHeight="1" x14ac:dyDescent="0.2">
      <c r="A35" s="43" t="s">
        <v>113</v>
      </c>
      <c r="B35" s="43">
        <v>0</v>
      </c>
      <c r="C35" s="43">
        <v>0</v>
      </c>
      <c r="D35" s="41">
        <v>0</v>
      </c>
      <c r="E35" s="37"/>
    </row>
    <row r="36" spans="1:5" ht="14.1" customHeight="1" x14ac:dyDescent="0.2">
      <c r="A36" s="43" t="s">
        <v>114</v>
      </c>
      <c r="B36" s="43"/>
      <c r="C36" s="43"/>
      <c r="D36" s="41"/>
    </row>
    <row r="37" spans="1:5" ht="14.1" customHeight="1" x14ac:dyDescent="0.2">
      <c r="A37" s="43" t="s">
        <v>250</v>
      </c>
      <c r="B37" s="48">
        <v>0</v>
      </c>
      <c r="C37" s="48">
        <v>0</v>
      </c>
      <c r="D37" s="38">
        <v>0</v>
      </c>
      <c r="E37" s="37"/>
    </row>
    <row r="38" spans="1:5" ht="14.1" customHeight="1" x14ac:dyDescent="0.2">
      <c r="A38" s="43" t="s">
        <v>200</v>
      </c>
      <c r="B38" s="48">
        <v>0</v>
      </c>
      <c r="C38" s="48">
        <v>0</v>
      </c>
      <c r="D38" s="38">
        <v>0</v>
      </c>
    </row>
    <row r="39" spans="1:5" ht="14.1" customHeight="1" x14ac:dyDescent="0.2">
      <c r="A39" s="43" t="s">
        <v>115</v>
      </c>
      <c r="B39" s="48">
        <v>0</v>
      </c>
      <c r="C39" s="48">
        <v>0</v>
      </c>
      <c r="D39" s="38">
        <v>0</v>
      </c>
    </row>
    <row r="40" spans="1:5" ht="14.1" customHeight="1" x14ac:dyDescent="0.2">
      <c r="A40" s="43" t="s">
        <v>116</v>
      </c>
      <c r="B40" s="48"/>
      <c r="C40" s="48"/>
      <c r="D40" s="38"/>
      <c r="E40" s="37"/>
    </row>
    <row r="41" spans="1:5" ht="14.1" customHeight="1" x14ac:dyDescent="0.2">
      <c r="A41" s="43" t="s">
        <v>250</v>
      </c>
      <c r="B41" s="43">
        <v>0</v>
      </c>
      <c r="C41" s="43">
        <v>0</v>
      </c>
      <c r="D41" s="41">
        <v>0</v>
      </c>
    </row>
    <row r="42" spans="1:5" ht="14.1" customHeight="1" x14ac:dyDescent="0.2">
      <c r="A42" s="43" t="s">
        <v>200</v>
      </c>
      <c r="B42" s="43">
        <v>0</v>
      </c>
      <c r="C42" s="43">
        <v>0</v>
      </c>
      <c r="D42" s="41">
        <v>0</v>
      </c>
      <c r="E42" s="37"/>
    </row>
    <row r="43" spans="1:5" ht="14.1" customHeight="1" x14ac:dyDescent="0.2">
      <c r="A43" s="43" t="s">
        <v>117</v>
      </c>
      <c r="B43" s="43">
        <v>0</v>
      </c>
      <c r="C43" s="43">
        <v>0</v>
      </c>
      <c r="D43" s="41">
        <v>0</v>
      </c>
      <c r="E43" s="37"/>
    </row>
    <row r="44" spans="1:5" ht="14.1" customHeight="1" x14ac:dyDescent="0.2">
      <c r="A44" s="43" t="s">
        <v>267</v>
      </c>
      <c r="B44" s="43"/>
      <c r="C44" s="43"/>
      <c r="D44" s="41"/>
    </row>
    <row r="45" spans="1:5" ht="14.1" customHeight="1" x14ac:dyDescent="0.2">
      <c r="A45" s="43" t="s">
        <v>250</v>
      </c>
      <c r="B45" s="43">
        <v>0</v>
      </c>
      <c r="C45" s="43">
        <v>0</v>
      </c>
      <c r="D45" s="41">
        <v>0</v>
      </c>
    </row>
    <row r="46" spans="1:5" ht="14.1" customHeight="1" x14ac:dyDescent="0.2">
      <c r="A46" s="43" t="s">
        <v>200</v>
      </c>
      <c r="B46" s="43">
        <v>0</v>
      </c>
      <c r="C46" s="43">
        <v>0</v>
      </c>
      <c r="D46" s="41">
        <v>0</v>
      </c>
    </row>
    <row r="47" spans="1:5" ht="14.1" customHeight="1" x14ac:dyDescent="0.2">
      <c r="A47" s="43" t="s">
        <v>268</v>
      </c>
      <c r="B47" s="43">
        <v>0</v>
      </c>
      <c r="C47" s="43">
        <v>0</v>
      </c>
      <c r="D47" s="41">
        <v>0</v>
      </c>
    </row>
    <row r="48" spans="1:5" ht="14.1" customHeight="1" x14ac:dyDescent="0.2">
      <c r="A48" s="43" t="s">
        <v>269</v>
      </c>
      <c r="B48" s="43"/>
      <c r="C48" s="43"/>
      <c r="D48" s="41"/>
    </row>
    <row r="49" spans="1:8" ht="14.1" customHeight="1" x14ac:dyDescent="0.2">
      <c r="A49" s="43" t="s">
        <v>250</v>
      </c>
      <c r="B49" s="43">
        <v>0</v>
      </c>
      <c r="C49" s="43">
        <v>0</v>
      </c>
      <c r="D49" s="41">
        <v>0</v>
      </c>
    </row>
    <row r="50" spans="1:8" ht="14.1" customHeight="1" x14ac:dyDescent="0.2">
      <c r="A50" s="43" t="s">
        <v>200</v>
      </c>
      <c r="B50" s="43">
        <v>0</v>
      </c>
      <c r="C50" s="43">
        <v>0</v>
      </c>
      <c r="D50" s="41">
        <v>0</v>
      </c>
      <c r="H50" s="31"/>
    </row>
    <row r="51" spans="1:8" ht="14.1" customHeight="1" x14ac:dyDescent="0.2">
      <c r="A51" s="43" t="s">
        <v>118</v>
      </c>
      <c r="B51" s="43">
        <v>0</v>
      </c>
      <c r="C51" s="43">
        <v>0</v>
      </c>
      <c r="D51" s="41">
        <v>0</v>
      </c>
    </row>
    <row r="52" spans="1:8" ht="14.1" customHeight="1" x14ac:dyDescent="0.2">
      <c r="A52" s="43" t="s">
        <v>270</v>
      </c>
      <c r="B52" s="43">
        <v>0</v>
      </c>
      <c r="C52" s="43">
        <v>0</v>
      </c>
      <c r="D52" s="41">
        <v>0</v>
      </c>
    </row>
    <row r="53" spans="1:8" ht="14.1" customHeight="1" x14ac:dyDescent="0.2">
      <c r="A53" s="43" t="s">
        <v>119</v>
      </c>
      <c r="B53" s="43">
        <v>0</v>
      </c>
      <c r="C53" s="43">
        <v>0</v>
      </c>
      <c r="D53" s="41">
        <v>0</v>
      </c>
    </row>
    <row r="54" spans="1:8" ht="14.1" customHeight="1" x14ac:dyDescent="0.2">
      <c r="A54" s="43" t="s">
        <v>271</v>
      </c>
      <c r="B54" s="43">
        <v>0</v>
      </c>
      <c r="C54" s="43">
        <v>0</v>
      </c>
      <c r="D54" s="41">
        <v>0</v>
      </c>
    </row>
    <row r="55" spans="1:8" ht="14.1" customHeight="1" x14ac:dyDescent="0.2">
      <c r="A55" s="43" t="s">
        <v>184</v>
      </c>
      <c r="B55" s="43">
        <v>0</v>
      </c>
      <c r="C55" s="43">
        <v>0</v>
      </c>
      <c r="D55" s="41">
        <v>0</v>
      </c>
      <c r="E55" s="35" t="s">
        <v>158</v>
      </c>
      <c r="F55" s="35" t="s">
        <v>158</v>
      </c>
    </row>
    <row r="56" spans="1:8" ht="14.1" customHeight="1" x14ac:dyDescent="0.2">
      <c r="A56" s="67" t="s">
        <v>251</v>
      </c>
      <c r="B56" s="67">
        <f>+B55+B22+B15</f>
        <v>1</v>
      </c>
      <c r="C56" s="67">
        <f>+C55+C22+C15</f>
        <v>1</v>
      </c>
      <c r="D56" s="41">
        <f>+D55+D22+D15</f>
        <v>1</v>
      </c>
      <c r="E56" s="37"/>
    </row>
    <row r="57" spans="1:8" ht="14.1" customHeight="1" x14ac:dyDescent="0.2">
      <c r="A57" s="43" t="s">
        <v>247</v>
      </c>
      <c r="B57" s="43"/>
      <c r="C57" s="43"/>
      <c r="D57" s="41"/>
    </row>
    <row r="58" spans="1:8" ht="14.1" customHeight="1" x14ac:dyDescent="0.2">
      <c r="A58" s="43" t="s">
        <v>177</v>
      </c>
      <c r="B58" s="43"/>
      <c r="C58" s="43"/>
      <c r="D58" s="41"/>
    </row>
    <row r="59" spans="1:8" ht="14.1" customHeight="1" x14ac:dyDescent="0.2">
      <c r="A59" s="43" t="s">
        <v>166</v>
      </c>
      <c r="B59" s="43">
        <v>0</v>
      </c>
      <c r="C59" s="43">
        <v>0</v>
      </c>
      <c r="D59" s="41">
        <v>0</v>
      </c>
    </row>
    <row r="60" spans="1:8" ht="14.1" customHeight="1" x14ac:dyDescent="0.2">
      <c r="A60" s="43" t="s">
        <v>120</v>
      </c>
      <c r="B60" s="43">
        <v>0</v>
      </c>
      <c r="C60" s="43">
        <v>0</v>
      </c>
      <c r="D60" s="41">
        <v>0</v>
      </c>
    </row>
    <row r="61" spans="1:8" ht="14.1" customHeight="1" x14ac:dyDescent="0.2">
      <c r="A61" s="43" t="s">
        <v>92</v>
      </c>
      <c r="B61" s="43">
        <v>0</v>
      </c>
      <c r="C61" s="43">
        <v>0</v>
      </c>
      <c r="D61" s="41">
        <v>0</v>
      </c>
    </row>
    <row r="62" spans="1:8" ht="14.1" customHeight="1" x14ac:dyDescent="0.2">
      <c r="A62" s="43" t="s">
        <v>167</v>
      </c>
      <c r="B62" s="43">
        <v>0</v>
      </c>
      <c r="C62" s="43">
        <v>0</v>
      </c>
      <c r="D62" s="41">
        <v>0</v>
      </c>
    </row>
    <row r="63" spans="1:8" ht="14.1" customHeight="1" x14ac:dyDescent="0.2">
      <c r="A63" s="43" t="s">
        <v>93</v>
      </c>
      <c r="B63" s="43">
        <v>0</v>
      </c>
      <c r="C63" s="43">
        <v>0</v>
      </c>
      <c r="D63" s="41">
        <v>0</v>
      </c>
    </row>
    <row r="64" spans="1:8" ht="14.1" customHeight="1" x14ac:dyDescent="0.2">
      <c r="A64" s="43" t="s">
        <v>272</v>
      </c>
      <c r="B64" s="43">
        <f>+SUM(B59:B63)</f>
        <v>0</v>
      </c>
      <c r="C64" s="43">
        <f>+SUM(C59:C63)</f>
        <v>0</v>
      </c>
      <c r="D64" s="41">
        <f>+SUM(D59:D63)</f>
        <v>0</v>
      </c>
      <c r="E64" s="35" t="s">
        <v>155</v>
      </c>
      <c r="F64" s="35" t="s">
        <v>5</v>
      </c>
    </row>
    <row r="65" spans="1:10" ht="14.1" customHeight="1" x14ac:dyDescent="0.2">
      <c r="A65" s="43" t="s">
        <v>273</v>
      </c>
      <c r="B65" s="43">
        <v>0</v>
      </c>
      <c r="C65" s="43">
        <v>0</v>
      </c>
      <c r="D65" s="41">
        <v>0</v>
      </c>
    </row>
    <row r="66" spans="1:10" ht="14.1" customHeight="1" x14ac:dyDescent="0.2">
      <c r="A66" s="43" t="s">
        <v>248</v>
      </c>
      <c r="B66" s="43"/>
      <c r="C66" s="43"/>
      <c r="D66" s="41"/>
    </row>
    <row r="67" spans="1:10" ht="14.1" customHeight="1" x14ac:dyDescent="0.2">
      <c r="A67" s="43" t="s">
        <v>228</v>
      </c>
      <c r="B67" s="43"/>
      <c r="C67" s="43"/>
      <c r="D67" s="41"/>
    </row>
    <row r="68" spans="1:10" ht="14.1" customHeight="1" x14ac:dyDescent="0.2">
      <c r="A68" s="43" t="s">
        <v>250</v>
      </c>
      <c r="B68" s="43">
        <v>137166.56</v>
      </c>
      <c r="C68" s="43">
        <v>144914.01999999999</v>
      </c>
      <c r="D68" s="41">
        <v>109490.75</v>
      </c>
      <c r="E68" s="35" t="s">
        <v>154</v>
      </c>
    </row>
    <row r="69" spans="1:10" ht="14.1" customHeight="1" x14ac:dyDescent="0.2">
      <c r="A69" s="43" t="s">
        <v>200</v>
      </c>
      <c r="B69" s="43">
        <v>0</v>
      </c>
      <c r="C69" s="43">
        <v>0</v>
      </c>
      <c r="D69" s="41">
        <v>0</v>
      </c>
      <c r="E69" s="35" t="s">
        <v>158</v>
      </c>
      <c r="H69" s="31"/>
    </row>
    <row r="70" spans="1:10" ht="14.1" customHeight="1" x14ac:dyDescent="0.2">
      <c r="A70" s="43" t="s">
        <v>274</v>
      </c>
      <c r="B70" s="43">
        <f>+B69+B68</f>
        <v>137166.56</v>
      </c>
      <c r="C70" s="43">
        <f>+C69+C68</f>
        <v>144914.01999999999</v>
      </c>
      <c r="D70" s="41">
        <f>+D69+D68</f>
        <v>109490.75</v>
      </c>
      <c r="F70" s="35" t="s">
        <v>4</v>
      </c>
    </row>
    <row r="71" spans="1:10" ht="14.1" customHeight="1" x14ac:dyDescent="0.2">
      <c r="A71" s="43" t="s">
        <v>121</v>
      </c>
      <c r="B71" s="43"/>
      <c r="C71" s="43"/>
      <c r="D71" s="41"/>
    </row>
    <row r="72" spans="1:10" ht="14.1" customHeight="1" x14ac:dyDescent="0.2">
      <c r="A72" s="43" t="s">
        <v>250</v>
      </c>
      <c r="B72" s="43">
        <v>0</v>
      </c>
      <c r="C72" s="43">
        <v>0</v>
      </c>
      <c r="D72" s="41">
        <v>0</v>
      </c>
      <c r="E72" s="35" t="s">
        <v>154</v>
      </c>
    </row>
    <row r="73" spans="1:10" ht="14.1" customHeight="1" x14ac:dyDescent="0.2">
      <c r="A73" s="43" t="s">
        <v>200</v>
      </c>
      <c r="B73" s="43">
        <v>0</v>
      </c>
      <c r="C73" s="43">
        <v>0</v>
      </c>
      <c r="D73" s="41">
        <v>0</v>
      </c>
      <c r="E73" s="35" t="s">
        <v>158</v>
      </c>
      <c r="H73" s="31"/>
    </row>
    <row r="74" spans="1:10" ht="14.1" customHeight="1" x14ac:dyDescent="0.2">
      <c r="A74" s="43" t="s">
        <v>113</v>
      </c>
      <c r="B74" s="43">
        <v>0</v>
      </c>
      <c r="C74" s="43">
        <v>0</v>
      </c>
      <c r="D74" s="41">
        <v>0</v>
      </c>
      <c r="F74" s="35" t="s">
        <v>17</v>
      </c>
    </row>
    <row r="75" spans="1:10" ht="14.1" customHeight="1" x14ac:dyDescent="0.2">
      <c r="A75" s="43" t="s">
        <v>122</v>
      </c>
      <c r="B75" s="43"/>
      <c r="C75" s="43"/>
      <c r="D75" s="41"/>
    </row>
    <row r="76" spans="1:10" ht="14.1" customHeight="1" x14ac:dyDescent="0.2">
      <c r="A76" s="43" t="s">
        <v>250</v>
      </c>
      <c r="B76" s="43">
        <v>0</v>
      </c>
      <c r="C76" s="43">
        <v>0</v>
      </c>
      <c r="D76" s="41">
        <v>0</v>
      </c>
      <c r="E76" s="35" t="s">
        <v>154</v>
      </c>
    </row>
    <row r="77" spans="1:10" ht="14.1" customHeight="1" x14ac:dyDescent="0.2">
      <c r="A77" s="43" t="s">
        <v>200</v>
      </c>
      <c r="B77" s="43">
        <v>0</v>
      </c>
      <c r="C77" s="43">
        <v>0</v>
      </c>
      <c r="D77" s="41">
        <v>0</v>
      </c>
      <c r="E77" s="35" t="s">
        <v>158</v>
      </c>
      <c r="H77" s="31"/>
      <c r="J77" s="31">
        <f>+C77-B77</f>
        <v>0</v>
      </c>
    </row>
    <row r="78" spans="1:10" ht="14.1" customHeight="1" x14ac:dyDescent="0.2">
      <c r="A78" s="43" t="s">
        <v>115</v>
      </c>
      <c r="B78" s="43">
        <v>0</v>
      </c>
      <c r="C78" s="43">
        <v>0</v>
      </c>
      <c r="D78" s="41">
        <v>0</v>
      </c>
      <c r="F78" s="35" t="s">
        <v>17</v>
      </c>
    </row>
    <row r="79" spans="1:10" ht="14.1" customHeight="1" x14ac:dyDescent="0.2">
      <c r="A79" s="43" t="s">
        <v>174</v>
      </c>
      <c r="B79" s="43"/>
      <c r="C79" s="43"/>
      <c r="D79" s="41"/>
    </row>
    <row r="80" spans="1:10" ht="14.1" customHeight="1" x14ac:dyDescent="0.2">
      <c r="A80" s="43" t="s">
        <v>250</v>
      </c>
      <c r="B80" s="43">
        <v>0</v>
      </c>
      <c r="C80" s="43">
        <v>0</v>
      </c>
      <c r="D80" s="41">
        <v>0</v>
      </c>
      <c r="E80" s="35" t="s">
        <v>154</v>
      </c>
    </row>
    <row r="81" spans="1:10" ht="14.1" customHeight="1" x14ac:dyDescent="0.2">
      <c r="A81" s="43" t="s">
        <v>200</v>
      </c>
      <c r="B81" s="43">
        <v>0</v>
      </c>
      <c r="C81" s="43">
        <v>0</v>
      </c>
      <c r="D81" s="41">
        <v>0</v>
      </c>
      <c r="E81" s="35" t="s">
        <v>158</v>
      </c>
      <c r="H81" s="31"/>
      <c r="J81" s="31">
        <f>+C81-B81</f>
        <v>0</v>
      </c>
    </row>
    <row r="82" spans="1:10" ht="14.1" customHeight="1" x14ac:dyDescent="0.2">
      <c r="A82" s="43" t="s">
        <v>117</v>
      </c>
      <c r="B82" s="43">
        <v>0</v>
      </c>
      <c r="C82" s="43">
        <v>0</v>
      </c>
      <c r="D82" s="41">
        <v>0</v>
      </c>
      <c r="F82" s="35" t="s">
        <v>17</v>
      </c>
    </row>
    <row r="83" spans="1:10" ht="14.1" customHeight="1" x14ac:dyDescent="0.2">
      <c r="A83" s="43" t="s">
        <v>275</v>
      </c>
      <c r="B83" s="43"/>
      <c r="C83" s="43"/>
      <c r="D83" s="41"/>
      <c r="E83" s="35" t="s">
        <v>154</v>
      </c>
    </row>
    <row r="84" spans="1:10" ht="14.1" customHeight="1" x14ac:dyDescent="0.2">
      <c r="A84" s="43" t="s">
        <v>250</v>
      </c>
      <c r="B84" s="43">
        <v>0</v>
      </c>
      <c r="C84" s="43">
        <v>0</v>
      </c>
      <c r="D84" s="41">
        <v>0</v>
      </c>
      <c r="E84" s="35" t="s">
        <v>158</v>
      </c>
    </row>
    <row r="85" spans="1:10" ht="14.1" customHeight="1" x14ac:dyDescent="0.2">
      <c r="A85" s="43" t="s">
        <v>200</v>
      </c>
      <c r="B85" s="43">
        <v>0</v>
      </c>
      <c r="C85" s="43">
        <v>0</v>
      </c>
      <c r="D85" s="41">
        <v>0</v>
      </c>
      <c r="F85" s="36" t="s">
        <v>11</v>
      </c>
      <c r="J85" s="31">
        <f>+C85-B85</f>
        <v>0</v>
      </c>
    </row>
    <row r="86" spans="1:10" ht="14.1" customHeight="1" x14ac:dyDescent="0.2">
      <c r="A86" s="43" t="s">
        <v>276</v>
      </c>
      <c r="B86" s="43">
        <v>0</v>
      </c>
      <c r="C86" s="43">
        <v>0</v>
      </c>
      <c r="D86" s="41">
        <v>0</v>
      </c>
    </row>
    <row r="87" spans="1:10" ht="14.1" customHeight="1" x14ac:dyDescent="0.2">
      <c r="A87" s="43" t="s">
        <v>277</v>
      </c>
      <c r="B87" s="43"/>
      <c r="C87" s="43"/>
      <c r="D87" s="41"/>
    </row>
    <row r="88" spans="1:10" ht="14.1" customHeight="1" x14ac:dyDescent="0.2">
      <c r="A88" s="43" t="s">
        <v>250</v>
      </c>
      <c r="B88" s="43">
        <v>0</v>
      </c>
      <c r="C88" s="43">
        <v>0</v>
      </c>
      <c r="D88" s="41">
        <v>0</v>
      </c>
      <c r="E88" s="35" t="s">
        <v>154</v>
      </c>
    </row>
    <row r="89" spans="1:10" ht="14.1" customHeight="1" x14ac:dyDescent="0.2">
      <c r="A89" s="43" t="s">
        <v>200</v>
      </c>
      <c r="B89" s="43">
        <v>0</v>
      </c>
      <c r="C89" s="43">
        <v>0</v>
      </c>
      <c r="D89" s="41">
        <v>0</v>
      </c>
      <c r="E89" s="35" t="s">
        <v>158</v>
      </c>
      <c r="H89" s="31"/>
      <c r="J89" s="31">
        <f>+C89-B89</f>
        <v>0</v>
      </c>
    </row>
    <row r="90" spans="1:10" ht="14.1" customHeight="1" x14ac:dyDescent="0.2">
      <c r="A90" s="43" t="s">
        <v>278</v>
      </c>
      <c r="B90" s="43">
        <v>0</v>
      </c>
      <c r="C90" s="43">
        <v>0</v>
      </c>
      <c r="D90" s="41">
        <v>0</v>
      </c>
      <c r="F90" s="35" t="s">
        <v>17</v>
      </c>
    </row>
    <row r="91" spans="1:10" ht="14.1" customHeight="1" x14ac:dyDescent="0.2">
      <c r="A91" s="43" t="s">
        <v>279</v>
      </c>
      <c r="B91" s="43">
        <v>0</v>
      </c>
      <c r="C91" s="43">
        <v>0</v>
      </c>
      <c r="D91" s="41">
        <v>0</v>
      </c>
    </row>
    <row r="92" spans="1:10" ht="14.1" customHeight="1" x14ac:dyDescent="0.2">
      <c r="A92" s="43" t="s">
        <v>280</v>
      </c>
      <c r="B92" s="43"/>
      <c r="C92" s="43"/>
      <c r="D92" s="41"/>
    </row>
    <row r="93" spans="1:10" ht="14.1" customHeight="1" x14ac:dyDescent="0.2">
      <c r="A93" s="43" t="s">
        <v>250</v>
      </c>
      <c r="B93" s="43">
        <v>0</v>
      </c>
      <c r="C93" s="43">
        <v>0</v>
      </c>
      <c r="D93" s="41">
        <v>0</v>
      </c>
      <c r="E93" s="35" t="s">
        <v>154</v>
      </c>
    </row>
    <row r="94" spans="1:10" ht="14.1" customHeight="1" x14ac:dyDescent="0.2">
      <c r="A94" s="43" t="s">
        <v>200</v>
      </c>
      <c r="B94" s="43">
        <v>0</v>
      </c>
      <c r="C94" s="43">
        <v>0</v>
      </c>
      <c r="D94" s="41">
        <v>0</v>
      </c>
      <c r="E94" s="35" t="s">
        <v>158</v>
      </c>
    </row>
    <row r="95" spans="1:10" ht="14.1" customHeight="1" x14ac:dyDescent="0.2">
      <c r="A95" s="43" t="s">
        <v>118</v>
      </c>
      <c r="B95" s="43">
        <v>0</v>
      </c>
      <c r="C95" s="43">
        <v>0</v>
      </c>
      <c r="D95" s="41">
        <v>0</v>
      </c>
      <c r="F95" s="35" t="s">
        <v>17</v>
      </c>
    </row>
    <row r="96" spans="1:10" ht="14.1" customHeight="1" x14ac:dyDescent="0.2">
      <c r="A96" s="67" t="s">
        <v>281</v>
      </c>
      <c r="B96" s="67">
        <f>+B95+B91+B86+B82+B78+B74+B70</f>
        <v>137166.56</v>
      </c>
      <c r="C96" s="67">
        <f>+C95+C91+C86+C82+C78+C74+C70</f>
        <v>144914.01999999999</v>
      </c>
      <c r="D96" s="41">
        <f>+D95+D91+D86+D82+D78+D74+D70</f>
        <v>109490.75</v>
      </c>
    </row>
    <row r="97" spans="1:10" ht="14.1" customHeight="1" x14ac:dyDescent="0.2">
      <c r="A97" s="43" t="s">
        <v>123</v>
      </c>
      <c r="B97" s="43"/>
      <c r="C97" s="43"/>
      <c r="D97" s="41"/>
    </row>
    <row r="98" spans="1:10" ht="14.1" customHeight="1" x14ac:dyDescent="0.2">
      <c r="A98" s="43" t="s">
        <v>124</v>
      </c>
      <c r="B98" s="43">
        <v>0</v>
      </c>
      <c r="C98" s="43">
        <v>0</v>
      </c>
      <c r="D98" s="41">
        <v>0</v>
      </c>
    </row>
    <row r="99" spans="1:10" ht="14.1" customHeight="1" x14ac:dyDescent="0.2">
      <c r="A99" s="43" t="s">
        <v>125</v>
      </c>
      <c r="B99" s="43">
        <v>0</v>
      </c>
      <c r="C99" s="43">
        <v>0</v>
      </c>
      <c r="D99" s="41">
        <v>0</v>
      </c>
      <c r="J99" s="31">
        <f>+C99-B99</f>
        <v>0</v>
      </c>
    </row>
    <row r="100" spans="1:10" ht="14.1" customHeight="1" x14ac:dyDescent="0.2">
      <c r="A100" s="43" t="s">
        <v>126</v>
      </c>
      <c r="B100" s="43">
        <v>0</v>
      </c>
      <c r="C100" s="43">
        <v>0</v>
      </c>
      <c r="D100" s="41">
        <v>0</v>
      </c>
    </row>
    <row r="101" spans="1:10" ht="14.1" customHeight="1" x14ac:dyDescent="0.2">
      <c r="A101" s="43" t="s">
        <v>282</v>
      </c>
      <c r="B101" s="43">
        <v>0</v>
      </c>
      <c r="C101" s="43">
        <v>0</v>
      </c>
      <c r="D101" s="41">
        <v>0</v>
      </c>
    </row>
    <row r="102" spans="1:10" ht="14.1" customHeight="1" x14ac:dyDescent="0.2">
      <c r="A102" s="43" t="s">
        <v>127</v>
      </c>
      <c r="B102" s="43">
        <v>241373.64</v>
      </c>
      <c r="C102" s="43">
        <v>241373.64</v>
      </c>
      <c r="D102" s="41">
        <v>241373.64</v>
      </c>
    </row>
    <row r="103" spans="1:10" ht="14.1" customHeight="1" x14ac:dyDescent="0.2">
      <c r="A103" s="43" t="s">
        <v>283</v>
      </c>
      <c r="B103" s="43">
        <v>0</v>
      </c>
      <c r="C103" s="43">
        <v>0</v>
      </c>
      <c r="D103" s="41">
        <v>0</v>
      </c>
    </row>
    <row r="104" spans="1:10" ht="14.1" customHeight="1" x14ac:dyDescent="0.2">
      <c r="A104" s="43" t="s">
        <v>128</v>
      </c>
      <c r="B104" s="43">
        <v>0</v>
      </c>
      <c r="C104" s="43">
        <v>0</v>
      </c>
      <c r="D104" s="41">
        <v>0</v>
      </c>
    </row>
    <row r="105" spans="1:10" ht="14.1" customHeight="1" x14ac:dyDescent="0.2">
      <c r="A105" s="43" t="s">
        <v>284</v>
      </c>
      <c r="B105" s="43">
        <v>0</v>
      </c>
      <c r="C105" s="43">
        <v>0</v>
      </c>
      <c r="D105" s="41">
        <v>0</v>
      </c>
    </row>
    <row r="106" spans="1:10" ht="14.1" customHeight="1" x14ac:dyDescent="0.2">
      <c r="A106" s="43" t="s">
        <v>285</v>
      </c>
      <c r="B106" s="43">
        <f>+SUM(B98:B105)</f>
        <v>241373.64</v>
      </c>
      <c r="C106" s="43">
        <f>+SUM(C98:C105)</f>
        <v>241373.64</v>
      </c>
      <c r="D106" s="41">
        <f>+SUM(D98:D105)</f>
        <v>241373.64</v>
      </c>
      <c r="E106" s="35" t="s">
        <v>153</v>
      </c>
      <c r="F106" s="35" t="s">
        <v>11</v>
      </c>
    </row>
    <row r="107" spans="1:10" ht="14.1" customHeight="1" x14ac:dyDescent="0.2">
      <c r="A107" s="43" t="s">
        <v>240</v>
      </c>
      <c r="B107" s="43"/>
      <c r="C107" s="43"/>
      <c r="D107" s="41"/>
    </row>
    <row r="108" spans="1:10" ht="14.1" customHeight="1" x14ac:dyDescent="0.2">
      <c r="A108" s="43" t="s">
        <v>186</v>
      </c>
      <c r="B108" s="43">
        <f>574406.55-B110</f>
        <v>572840.45000000007</v>
      </c>
      <c r="C108" s="43">
        <f>690614.58-C110</f>
        <v>689439.32</v>
      </c>
      <c r="D108" s="41">
        <f>57529.24+422286.09+94693.39+200703.14+36134.89</f>
        <v>811346.75</v>
      </c>
    </row>
    <row r="109" spans="1:10" ht="14.1" customHeight="1" x14ac:dyDescent="0.2">
      <c r="A109" s="43" t="s">
        <v>129</v>
      </c>
      <c r="B109" s="43">
        <v>0</v>
      </c>
      <c r="C109" s="43">
        <v>0</v>
      </c>
      <c r="D109" s="41">
        <v>0</v>
      </c>
    </row>
    <row r="110" spans="1:10" ht="14.1" customHeight="1" x14ac:dyDescent="0.2">
      <c r="A110" s="43" t="s">
        <v>189</v>
      </c>
      <c r="B110" s="43">
        <v>1566.1</v>
      </c>
      <c r="C110" s="43">
        <v>1175.26</v>
      </c>
      <c r="D110" s="41">
        <v>5052.28</v>
      </c>
    </row>
    <row r="111" spans="1:10" ht="14.1" customHeight="1" x14ac:dyDescent="0.2">
      <c r="A111" s="43" t="s">
        <v>286</v>
      </c>
      <c r="B111" s="43">
        <f>+SUM(B108:B110)</f>
        <v>574406.55000000005</v>
      </c>
      <c r="C111" s="43">
        <f>+SUM(C108:C110)</f>
        <v>690614.58</v>
      </c>
      <c r="D111" s="41">
        <f>+SUM(D108:D110)</f>
        <v>816399.03</v>
      </c>
      <c r="E111" s="35" t="s">
        <v>153</v>
      </c>
    </row>
    <row r="112" spans="1:10" ht="14.1" customHeight="1" x14ac:dyDescent="0.2">
      <c r="A112" s="67" t="s">
        <v>198</v>
      </c>
      <c r="B112" s="67">
        <f>+B111+B106+B96+B64</f>
        <v>952946.75</v>
      </c>
      <c r="C112" s="67">
        <f>+C111+C106+C96+C64</f>
        <v>1076902.24</v>
      </c>
      <c r="D112" s="41">
        <f>+D111+D106+D96+D64</f>
        <v>1167263.42</v>
      </c>
    </row>
    <row r="113" spans="1:9" ht="14.1" customHeight="1" x14ac:dyDescent="0.2">
      <c r="A113" s="43" t="s">
        <v>232</v>
      </c>
      <c r="B113" s="43">
        <v>0</v>
      </c>
      <c r="C113" s="43">
        <v>0</v>
      </c>
      <c r="D113" s="41">
        <v>0</v>
      </c>
      <c r="E113" s="35" t="s">
        <v>154</v>
      </c>
    </row>
    <row r="114" spans="1:9" ht="14.1" customHeight="1" x14ac:dyDescent="0.2">
      <c r="A114" s="44" t="s">
        <v>245</v>
      </c>
      <c r="B114" s="44">
        <f>+B113+B112+B56+B5</f>
        <v>952947.75</v>
      </c>
      <c r="C114" s="44">
        <f>+C113+C112+C56+C5</f>
        <v>1076903.24</v>
      </c>
      <c r="D114" s="50">
        <f>+D113+D112+D56+D5</f>
        <v>1167264.42</v>
      </c>
    </row>
    <row r="115" spans="1:9" ht="14.1" customHeight="1" x14ac:dyDescent="0.2">
      <c r="A115" s="43" t="s">
        <v>231</v>
      </c>
      <c r="B115" s="43"/>
      <c r="C115" s="43"/>
      <c r="D115" s="41"/>
    </row>
    <row r="116" spans="1:9" ht="14.1" customHeight="1" x14ac:dyDescent="0.2">
      <c r="A116" s="43" t="s">
        <v>185</v>
      </c>
      <c r="B116" s="43">
        <v>291608.12</v>
      </c>
      <c r="C116" s="43">
        <v>291608.12</v>
      </c>
      <c r="D116" s="41">
        <v>291608.12</v>
      </c>
    </row>
    <row r="117" spans="1:9" ht="14.1" customHeight="1" x14ac:dyDescent="0.2">
      <c r="A117" s="43" t="s">
        <v>229</v>
      </c>
      <c r="B117" s="43">
        <v>0</v>
      </c>
      <c r="C117" s="43">
        <v>0</v>
      </c>
      <c r="D117" s="41">
        <v>0</v>
      </c>
    </row>
    <row r="118" spans="1:9" ht="14.1" customHeight="1" x14ac:dyDescent="0.2">
      <c r="A118" s="43" t="s">
        <v>194</v>
      </c>
      <c r="B118" s="43">
        <v>0</v>
      </c>
      <c r="C118" s="43">
        <v>0</v>
      </c>
      <c r="D118" s="41">
        <v>0</v>
      </c>
    </row>
    <row r="119" spans="1:9" ht="14.1" customHeight="1" x14ac:dyDescent="0.2">
      <c r="A119" s="43" t="s">
        <v>233</v>
      </c>
      <c r="B119" s="43">
        <v>0</v>
      </c>
      <c r="C119" s="43">
        <v>0</v>
      </c>
      <c r="D119" s="41">
        <v>0</v>
      </c>
    </row>
    <row r="120" spans="1:9" ht="14.1" customHeight="1" x14ac:dyDescent="0.2">
      <c r="A120" s="43" t="s">
        <v>187</v>
      </c>
      <c r="B120" s="43">
        <v>0</v>
      </c>
      <c r="C120" s="43">
        <v>0</v>
      </c>
      <c r="D120" s="41">
        <v>0</v>
      </c>
      <c r="I120" s="31">
        <f>-B120+C120</f>
        <v>0</v>
      </c>
    </row>
    <row r="121" spans="1:9" ht="14.1" customHeight="1" x14ac:dyDescent="0.2">
      <c r="A121" s="43" t="s">
        <v>287</v>
      </c>
      <c r="B121" s="43"/>
      <c r="C121" s="43"/>
      <c r="D121" s="41"/>
    </row>
    <row r="122" spans="1:9" ht="14.1" customHeight="1" x14ac:dyDescent="0.2">
      <c r="A122" s="43" t="s">
        <v>288</v>
      </c>
      <c r="B122" s="43">
        <v>0</v>
      </c>
      <c r="C122" s="43">
        <v>0</v>
      </c>
      <c r="D122" s="41">
        <v>0</v>
      </c>
    </row>
    <row r="123" spans="1:9" ht="14.1" customHeight="1" x14ac:dyDescent="0.2">
      <c r="A123" s="43" t="s">
        <v>289</v>
      </c>
      <c r="B123" s="43">
        <v>0</v>
      </c>
      <c r="C123" s="43">
        <v>0</v>
      </c>
      <c r="D123" s="41">
        <v>0</v>
      </c>
    </row>
    <row r="124" spans="1:9" ht="14.1" customHeight="1" x14ac:dyDescent="0.2">
      <c r="A124" s="43" t="s">
        <v>66</v>
      </c>
      <c r="B124" s="43">
        <v>0</v>
      </c>
      <c r="C124" s="43">
        <v>0</v>
      </c>
      <c r="D124" s="41">
        <v>0</v>
      </c>
    </row>
    <row r="125" spans="1:9" ht="14.1" customHeight="1" x14ac:dyDescent="0.2">
      <c r="A125" s="43" t="s">
        <v>290</v>
      </c>
      <c r="B125" s="43">
        <v>0</v>
      </c>
      <c r="C125" s="43">
        <v>0</v>
      </c>
      <c r="D125" s="41">
        <v>0</v>
      </c>
    </row>
    <row r="126" spans="1:9" ht="14.1" customHeight="1" x14ac:dyDescent="0.2">
      <c r="A126" s="43" t="s">
        <v>67</v>
      </c>
      <c r="B126" s="43">
        <v>0</v>
      </c>
      <c r="C126" s="43">
        <v>0</v>
      </c>
      <c r="D126" s="41">
        <v>0</v>
      </c>
    </row>
    <row r="127" spans="1:9" ht="14.1" customHeight="1" x14ac:dyDescent="0.2">
      <c r="A127" s="43" t="s">
        <v>68</v>
      </c>
      <c r="B127" s="43">
        <v>0</v>
      </c>
      <c r="C127" s="43">
        <v>0</v>
      </c>
      <c r="D127" s="41">
        <v>0</v>
      </c>
    </row>
    <row r="128" spans="1:9" ht="14.1" customHeight="1" x14ac:dyDescent="0.2">
      <c r="A128" s="43" t="s">
        <v>69</v>
      </c>
      <c r="B128" s="43">
        <v>0</v>
      </c>
      <c r="C128" s="43">
        <v>0</v>
      </c>
      <c r="D128" s="41">
        <v>0</v>
      </c>
    </row>
    <row r="129" spans="1:10" ht="14.1" customHeight="1" x14ac:dyDescent="0.2">
      <c r="A129" s="43" t="s">
        <v>70</v>
      </c>
      <c r="B129" s="43">
        <v>0</v>
      </c>
      <c r="C129" s="43">
        <v>0</v>
      </c>
      <c r="D129" s="41">
        <v>0</v>
      </c>
    </row>
    <row r="130" spans="1:10" ht="14.1" customHeight="1" x14ac:dyDescent="0.2">
      <c r="A130" s="43" t="s">
        <v>71</v>
      </c>
      <c r="B130" s="43">
        <v>0</v>
      </c>
      <c r="C130" s="43">
        <v>0</v>
      </c>
      <c r="D130" s="41">
        <v>0</v>
      </c>
    </row>
    <row r="131" spans="1:10" ht="14.1" customHeight="1" x14ac:dyDescent="0.2">
      <c r="A131" s="43" t="s">
        <v>72</v>
      </c>
      <c r="B131" s="43">
        <v>0</v>
      </c>
      <c r="C131" s="43">
        <v>0</v>
      </c>
      <c r="D131" s="41">
        <v>0</v>
      </c>
    </row>
    <row r="132" spans="1:10" ht="14.1" customHeight="1" x14ac:dyDescent="0.2">
      <c r="A132" s="43" t="s">
        <v>291</v>
      </c>
      <c r="B132" s="43">
        <v>0</v>
      </c>
      <c r="C132" s="43">
        <v>0</v>
      </c>
      <c r="D132" s="41">
        <v>0</v>
      </c>
    </row>
    <row r="133" spans="1:10" ht="14.1" customHeight="1" x14ac:dyDescent="0.2">
      <c r="A133" s="43" t="s">
        <v>292</v>
      </c>
      <c r="B133" s="43">
        <v>0</v>
      </c>
      <c r="C133" s="43">
        <v>0</v>
      </c>
      <c r="D133" s="41">
        <v>0</v>
      </c>
    </row>
    <row r="134" spans="1:10" ht="14.1" customHeight="1" x14ac:dyDescent="0.2">
      <c r="A134" s="43" t="s">
        <v>94</v>
      </c>
      <c r="B134" s="43">
        <v>0</v>
      </c>
      <c r="C134" s="43">
        <v>0</v>
      </c>
      <c r="D134" s="41">
        <v>0</v>
      </c>
    </row>
    <row r="135" spans="1:10" ht="14.1" customHeight="1" x14ac:dyDescent="0.2">
      <c r="A135" s="43" t="s">
        <v>293</v>
      </c>
      <c r="B135" s="43">
        <f>+SUM(B122:B134)</f>
        <v>0</v>
      </c>
      <c r="C135" s="43">
        <f>+SUM(C122:C134)</f>
        <v>0</v>
      </c>
      <c r="D135" s="41">
        <f>+SUM(D122:D134)</f>
        <v>0</v>
      </c>
    </row>
    <row r="136" spans="1:10" ht="14.1" customHeight="1" x14ac:dyDescent="0.2">
      <c r="A136" s="43" t="s">
        <v>294</v>
      </c>
      <c r="B136" s="43">
        <v>0</v>
      </c>
      <c r="C136" s="43">
        <v>0</v>
      </c>
      <c r="D136" s="41">
        <v>0</v>
      </c>
    </row>
    <row r="137" spans="1:10" ht="14.1" customHeight="1" x14ac:dyDescent="0.2">
      <c r="A137" s="43" t="s">
        <v>176</v>
      </c>
      <c r="B137" s="43">
        <v>0</v>
      </c>
      <c r="C137" s="43">
        <v>0</v>
      </c>
      <c r="D137" s="41">
        <v>0</v>
      </c>
    </row>
    <row r="138" spans="1:10" ht="14.1" customHeight="1" x14ac:dyDescent="0.2">
      <c r="A138" s="43" t="s">
        <v>195</v>
      </c>
      <c r="B138" s="43">
        <v>0</v>
      </c>
      <c r="C138" s="43">
        <v>0</v>
      </c>
      <c r="D138" s="41">
        <v>0</v>
      </c>
    </row>
    <row r="139" spans="1:10" ht="14.1" customHeight="1" x14ac:dyDescent="0.2">
      <c r="A139" s="43" t="s">
        <v>295</v>
      </c>
      <c r="B139" s="43">
        <v>0</v>
      </c>
      <c r="C139" s="43">
        <v>0</v>
      </c>
      <c r="D139" s="41">
        <v>0</v>
      </c>
    </row>
    <row r="140" spans="1:10" ht="14.1" customHeight="1" x14ac:dyDescent="0.2">
      <c r="A140" s="43" t="s">
        <v>296</v>
      </c>
      <c r="B140" s="43">
        <v>0</v>
      </c>
      <c r="C140" s="43">
        <v>0</v>
      </c>
      <c r="D140" s="41">
        <v>0</v>
      </c>
    </row>
    <row r="141" spans="1:10" ht="14.1" customHeight="1" x14ac:dyDescent="0.2">
      <c r="A141" s="67" t="s">
        <v>297</v>
      </c>
      <c r="B141" s="67">
        <f>+B140+B138+B137+B136+B135+B120+B119+B118+B117+B116</f>
        <v>291608.12</v>
      </c>
      <c r="C141" s="67">
        <f>+C140+C138+C137+C136+C135+C120+C119+C118+C117+C116</f>
        <v>291608.12</v>
      </c>
      <c r="D141" s="41">
        <f>+D140+D138+D137+D136+D135+D120+D119+D118+D117+D116</f>
        <v>291608.12</v>
      </c>
      <c r="E141" s="35" t="s">
        <v>161</v>
      </c>
      <c r="F141" s="35" t="s">
        <v>3</v>
      </c>
    </row>
    <row r="142" spans="1:10" ht="14.1" customHeight="1" x14ac:dyDescent="0.2">
      <c r="A142" s="43" t="s">
        <v>179</v>
      </c>
      <c r="B142" s="43"/>
      <c r="C142" s="43"/>
      <c r="D142" s="41"/>
      <c r="J142" s="31">
        <f>+C142-D137</f>
        <v>0</v>
      </c>
    </row>
    <row r="143" spans="1:10" ht="14.1" customHeight="1" x14ac:dyDescent="0.2">
      <c r="A143" s="43" t="s">
        <v>73</v>
      </c>
      <c r="B143" s="43">
        <v>0</v>
      </c>
      <c r="C143" s="43">
        <v>0</v>
      </c>
      <c r="D143" s="41">
        <v>0</v>
      </c>
    </row>
    <row r="144" spans="1:10" ht="14.1" customHeight="1" x14ac:dyDescent="0.2">
      <c r="A144" s="43" t="s">
        <v>95</v>
      </c>
      <c r="B144" s="43">
        <v>0</v>
      </c>
      <c r="C144" s="43">
        <v>0</v>
      </c>
      <c r="D144" s="41">
        <v>0</v>
      </c>
      <c r="J144" s="31">
        <f>+D138-J142</f>
        <v>0</v>
      </c>
    </row>
    <row r="145" spans="1:9" ht="14.1" customHeight="1" x14ac:dyDescent="0.2">
      <c r="A145" s="43" t="s">
        <v>298</v>
      </c>
      <c r="B145" s="43">
        <v>0</v>
      </c>
      <c r="C145" s="43">
        <v>0</v>
      </c>
      <c r="D145" s="41">
        <v>0</v>
      </c>
      <c r="I145" s="31">
        <f>+B146</f>
        <v>358769.68</v>
      </c>
    </row>
    <row r="146" spans="1:9" ht="14.1" customHeight="1" x14ac:dyDescent="0.2">
      <c r="A146" s="43" t="s">
        <v>299</v>
      </c>
      <c r="B146" s="43">
        <v>358769.68</v>
      </c>
      <c r="C146" s="43">
        <v>505885.59</v>
      </c>
      <c r="D146" s="41">
        <v>663928.34</v>
      </c>
    </row>
    <row r="147" spans="1:9" ht="14.1" customHeight="1" x14ac:dyDescent="0.2">
      <c r="A147" s="67" t="s">
        <v>227</v>
      </c>
      <c r="B147" s="67">
        <f>+SUM(B143:B146)</f>
        <v>358769.68</v>
      </c>
      <c r="C147" s="67">
        <f>+SUM(C143:C146)</f>
        <v>505885.59</v>
      </c>
      <c r="D147" s="41">
        <f>+SUM(D143:D146)</f>
        <v>663928.34</v>
      </c>
      <c r="E147" s="35" t="s">
        <v>159</v>
      </c>
    </row>
    <row r="148" spans="1:9" ht="14.1" customHeight="1" x14ac:dyDescent="0.2">
      <c r="A148" s="67" t="s">
        <v>74</v>
      </c>
      <c r="B148" s="67">
        <v>237283.75</v>
      </c>
      <c r="C148" s="67">
        <v>221204.7</v>
      </c>
      <c r="D148" s="41">
        <v>173344.78</v>
      </c>
      <c r="E148" s="35" t="s">
        <v>159</v>
      </c>
      <c r="I148" s="31">
        <f>+B150-C150</f>
        <v>0</v>
      </c>
    </row>
    <row r="149" spans="1:9" ht="14.1" customHeight="1" x14ac:dyDescent="0.2">
      <c r="A149" s="43" t="s">
        <v>226</v>
      </c>
      <c r="B149" s="43"/>
      <c r="C149" s="43"/>
      <c r="D149" s="41"/>
    </row>
    <row r="150" spans="1:9" ht="14.1" customHeight="1" x14ac:dyDescent="0.2">
      <c r="A150" s="43" t="s">
        <v>75</v>
      </c>
      <c r="B150" s="43"/>
      <c r="C150" s="43"/>
      <c r="D150" s="41"/>
    </row>
    <row r="151" spans="1:9" ht="14.1" customHeight="1" x14ac:dyDescent="0.2">
      <c r="A151" s="43" t="s">
        <v>250</v>
      </c>
      <c r="B151" s="43">
        <v>0</v>
      </c>
      <c r="C151" s="43">
        <v>0</v>
      </c>
      <c r="D151" s="41">
        <v>0</v>
      </c>
      <c r="E151" s="35" t="s">
        <v>160</v>
      </c>
    </row>
    <row r="152" spans="1:9" ht="14.1" customHeight="1" x14ac:dyDescent="0.2">
      <c r="A152" s="43" t="s">
        <v>200</v>
      </c>
      <c r="B152" s="43">
        <v>0</v>
      </c>
      <c r="C152" s="43">
        <v>0</v>
      </c>
      <c r="D152" s="41">
        <v>0</v>
      </c>
      <c r="E152" s="35" t="s">
        <v>159</v>
      </c>
    </row>
    <row r="153" spans="1:9" ht="14.1" customHeight="1" x14ac:dyDescent="0.2">
      <c r="A153" s="43" t="s">
        <v>76</v>
      </c>
      <c r="B153" s="43">
        <f>+B152+B151</f>
        <v>0</v>
      </c>
      <c r="C153" s="43">
        <f>+C152+C151</f>
        <v>0</v>
      </c>
      <c r="D153" s="41">
        <f>+D152+D151</f>
        <v>0</v>
      </c>
      <c r="F153" s="35" t="s">
        <v>1</v>
      </c>
    </row>
    <row r="154" spans="1:9" ht="14.1" customHeight="1" x14ac:dyDescent="0.2">
      <c r="A154" s="43" t="s">
        <v>77</v>
      </c>
      <c r="B154" s="43"/>
      <c r="C154" s="43"/>
      <c r="D154" s="41"/>
      <c r="H154" s="31"/>
    </row>
    <row r="155" spans="1:9" ht="14.1" customHeight="1" x14ac:dyDescent="0.2">
      <c r="A155" s="43" t="s">
        <v>250</v>
      </c>
      <c r="B155" s="43">
        <v>0</v>
      </c>
      <c r="C155" s="43">
        <v>0</v>
      </c>
      <c r="D155" s="41">
        <v>0</v>
      </c>
      <c r="E155" s="35" t="s">
        <v>160</v>
      </c>
    </row>
    <row r="156" spans="1:9" ht="14.1" customHeight="1" x14ac:dyDescent="0.2">
      <c r="A156" s="43" t="s">
        <v>200</v>
      </c>
      <c r="B156" s="43">
        <v>0</v>
      </c>
      <c r="C156" s="43">
        <v>0</v>
      </c>
      <c r="D156" s="41">
        <v>0</v>
      </c>
      <c r="E156" s="35" t="s">
        <v>159</v>
      </c>
    </row>
    <row r="157" spans="1:9" ht="14.1" customHeight="1" x14ac:dyDescent="0.2">
      <c r="A157" s="43" t="s">
        <v>78</v>
      </c>
      <c r="B157" s="43">
        <f>+B156+B155</f>
        <v>0</v>
      </c>
      <c r="C157" s="43">
        <f>+C156+C155</f>
        <v>0</v>
      </c>
      <c r="D157" s="41">
        <f>+D156+D155</f>
        <v>0</v>
      </c>
      <c r="F157" s="35" t="s">
        <v>1</v>
      </c>
    </row>
    <row r="158" spans="1:9" ht="14.1" customHeight="1" x14ac:dyDescent="0.2">
      <c r="A158" s="43" t="s">
        <v>79</v>
      </c>
      <c r="B158" s="43"/>
      <c r="C158" s="43"/>
      <c r="D158" s="41"/>
    </row>
    <row r="159" spans="1:9" ht="14.1" customHeight="1" x14ac:dyDescent="0.2">
      <c r="A159" s="43" t="s">
        <v>250</v>
      </c>
      <c r="B159" s="43">
        <v>0</v>
      </c>
      <c r="C159" s="43">
        <v>0</v>
      </c>
      <c r="D159" s="41">
        <v>0</v>
      </c>
      <c r="E159" s="35" t="s">
        <v>160</v>
      </c>
    </row>
    <row r="160" spans="1:9" ht="14.1" customHeight="1" x14ac:dyDescent="0.2">
      <c r="A160" s="43" t="s">
        <v>200</v>
      </c>
      <c r="B160" s="43">
        <v>0</v>
      </c>
      <c r="C160" s="43">
        <v>0</v>
      </c>
      <c r="D160" s="41">
        <v>0</v>
      </c>
      <c r="E160" s="35" t="s">
        <v>159</v>
      </c>
    </row>
    <row r="161" spans="1:8" ht="14.1" customHeight="1" x14ac:dyDescent="0.2">
      <c r="A161" s="43" t="s">
        <v>80</v>
      </c>
      <c r="B161" s="43">
        <f>+B160+B159</f>
        <v>0</v>
      </c>
      <c r="C161" s="43">
        <f>+C160+C159</f>
        <v>0</v>
      </c>
      <c r="D161" s="41">
        <f>+D160+D159</f>
        <v>0</v>
      </c>
      <c r="F161" s="35" t="s">
        <v>1</v>
      </c>
    </row>
    <row r="162" spans="1:8" ht="14.1" customHeight="1" x14ac:dyDescent="0.2">
      <c r="A162" s="43" t="s">
        <v>219</v>
      </c>
      <c r="B162" s="43"/>
      <c r="C162" s="43"/>
      <c r="D162" s="41"/>
    </row>
    <row r="163" spans="1:8" ht="14.1" customHeight="1" x14ac:dyDescent="0.2">
      <c r="A163" s="43" t="s">
        <v>250</v>
      </c>
      <c r="B163" s="43">
        <v>0</v>
      </c>
      <c r="C163" s="43">
        <v>0</v>
      </c>
      <c r="D163" s="41">
        <v>0</v>
      </c>
      <c r="E163" s="35" t="s">
        <v>160</v>
      </c>
    </row>
    <row r="164" spans="1:8" ht="14.1" customHeight="1" x14ac:dyDescent="0.2">
      <c r="A164" s="43" t="s">
        <v>200</v>
      </c>
      <c r="B164" s="43">
        <v>0</v>
      </c>
      <c r="C164" s="43">
        <v>0</v>
      </c>
      <c r="D164" s="41">
        <v>0</v>
      </c>
      <c r="E164" s="35" t="s">
        <v>159</v>
      </c>
    </row>
    <row r="165" spans="1:8" ht="14.1" customHeight="1" x14ac:dyDescent="0.2">
      <c r="A165" s="43" t="s">
        <v>225</v>
      </c>
      <c r="B165" s="43">
        <f>+B164+B163</f>
        <v>0</v>
      </c>
      <c r="C165" s="43">
        <f>+C164+C163</f>
        <v>0</v>
      </c>
      <c r="D165" s="41">
        <f>+D164+D163</f>
        <v>0</v>
      </c>
      <c r="F165" s="35" t="s">
        <v>1</v>
      </c>
    </row>
    <row r="166" spans="1:8" ht="14.1" customHeight="1" x14ac:dyDescent="0.2">
      <c r="A166" s="43" t="s">
        <v>81</v>
      </c>
      <c r="B166" s="43"/>
      <c r="C166" s="43"/>
      <c r="D166" s="41"/>
    </row>
    <row r="167" spans="1:8" ht="14.1" customHeight="1" x14ac:dyDescent="0.2">
      <c r="A167" s="43" t="s">
        <v>250</v>
      </c>
      <c r="B167" s="43">
        <v>0</v>
      </c>
      <c r="C167" s="43">
        <v>0</v>
      </c>
      <c r="D167" s="41">
        <v>0</v>
      </c>
      <c r="E167" s="35" t="s">
        <v>160</v>
      </c>
    </row>
    <row r="168" spans="1:8" ht="14.1" customHeight="1" x14ac:dyDescent="0.2">
      <c r="A168" s="43" t="s">
        <v>200</v>
      </c>
      <c r="B168" s="43">
        <v>0</v>
      </c>
      <c r="C168" s="43">
        <v>0</v>
      </c>
      <c r="D168" s="41">
        <v>0</v>
      </c>
      <c r="E168" s="35" t="s">
        <v>159</v>
      </c>
    </row>
    <row r="169" spans="1:8" ht="14.1" customHeight="1" x14ac:dyDescent="0.2">
      <c r="A169" s="43" t="s">
        <v>82</v>
      </c>
      <c r="B169" s="43">
        <f>+B168+B167</f>
        <v>0</v>
      </c>
      <c r="C169" s="43">
        <f>+C168+C167</f>
        <v>0</v>
      </c>
      <c r="D169" s="41">
        <f>+D168+D167</f>
        <v>0</v>
      </c>
      <c r="F169" s="35" t="s">
        <v>1</v>
      </c>
      <c r="H169" s="31"/>
    </row>
    <row r="170" spans="1:8" ht="14.1" customHeight="1" x14ac:dyDescent="0.2">
      <c r="A170" s="43" t="s">
        <v>168</v>
      </c>
      <c r="B170" s="43"/>
      <c r="C170" s="43"/>
      <c r="D170" s="41"/>
      <c r="H170" s="31"/>
    </row>
    <row r="171" spans="1:8" ht="14.1" customHeight="1" x14ac:dyDescent="0.2">
      <c r="A171" s="43" t="s">
        <v>250</v>
      </c>
      <c r="B171" s="43">
        <v>0</v>
      </c>
      <c r="C171" s="43">
        <v>0</v>
      </c>
      <c r="D171" s="41">
        <v>0</v>
      </c>
      <c r="E171" s="35" t="s">
        <v>160</v>
      </c>
      <c r="H171" s="31"/>
    </row>
    <row r="172" spans="1:8" ht="14.1" customHeight="1" x14ac:dyDescent="0.2">
      <c r="A172" s="43" t="s">
        <v>200</v>
      </c>
      <c r="B172" s="43">
        <v>0</v>
      </c>
      <c r="C172" s="43">
        <v>0</v>
      </c>
      <c r="D172" s="41">
        <v>0</v>
      </c>
      <c r="E172" s="35" t="s">
        <v>159</v>
      </c>
    </row>
    <row r="173" spans="1:8" ht="14.1" customHeight="1" x14ac:dyDescent="0.2">
      <c r="A173" s="43" t="s">
        <v>169</v>
      </c>
      <c r="B173" s="43">
        <f>+B171+B172</f>
        <v>0</v>
      </c>
      <c r="C173" s="43">
        <f>+C171+C172</f>
        <v>0</v>
      </c>
      <c r="D173" s="41">
        <f>+D171+D172</f>
        <v>0</v>
      </c>
      <c r="F173" s="35" t="s">
        <v>12</v>
      </c>
    </row>
    <row r="174" spans="1:8" ht="14.1" customHeight="1" x14ac:dyDescent="0.2">
      <c r="A174" s="43" t="s">
        <v>255</v>
      </c>
      <c r="B174" s="43"/>
      <c r="C174" s="43"/>
      <c r="D174" s="41"/>
    </row>
    <row r="175" spans="1:8" ht="14.1" customHeight="1" x14ac:dyDescent="0.2">
      <c r="A175" s="43" t="s">
        <v>250</v>
      </c>
      <c r="B175" s="43">
        <v>0</v>
      </c>
      <c r="C175" s="43">
        <v>0</v>
      </c>
      <c r="D175" s="41">
        <v>0</v>
      </c>
      <c r="E175" s="35" t="s">
        <v>160</v>
      </c>
      <c r="H175" s="31"/>
    </row>
    <row r="176" spans="1:8" ht="14.1" customHeight="1" x14ac:dyDescent="0.2">
      <c r="A176" s="43" t="s">
        <v>200</v>
      </c>
      <c r="B176" s="43">
        <v>0</v>
      </c>
      <c r="C176" s="43">
        <v>0</v>
      </c>
      <c r="D176" s="41">
        <v>0</v>
      </c>
      <c r="E176" s="35" t="s">
        <v>159</v>
      </c>
    </row>
    <row r="177" spans="1:10" ht="14.1" customHeight="1" x14ac:dyDescent="0.2">
      <c r="A177" s="43" t="s">
        <v>243</v>
      </c>
      <c r="B177" s="43">
        <f>+B175+B176</f>
        <v>0</v>
      </c>
      <c r="C177" s="43">
        <f>+C175+C176</f>
        <v>0</v>
      </c>
      <c r="D177" s="41">
        <f>+D175+D176</f>
        <v>0</v>
      </c>
      <c r="F177" s="35" t="s">
        <v>2</v>
      </c>
    </row>
    <row r="178" spans="1:10" ht="14.1" customHeight="1" x14ac:dyDescent="0.2">
      <c r="A178" s="43" t="s">
        <v>83</v>
      </c>
      <c r="B178" s="43"/>
      <c r="C178" s="43"/>
      <c r="D178" s="41"/>
    </row>
    <row r="179" spans="1:10" ht="14.1" customHeight="1" x14ac:dyDescent="0.2">
      <c r="A179" s="43" t="s">
        <v>250</v>
      </c>
      <c r="B179" s="43">
        <v>0</v>
      </c>
      <c r="C179" s="43">
        <v>0</v>
      </c>
      <c r="D179" s="41">
        <v>0</v>
      </c>
      <c r="E179" s="35" t="s">
        <v>160</v>
      </c>
      <c r="H179" s="31"/>
      <c r="I179" s="31"/>
      <c r="J179" s="31">
        <f>-(C181-B181)</f>
        <v>0</v>
      </c>
    </row>
    <row r="180" spans="1:10" ht="14.1" customHeight="1" x14ac:dyDescent="0.2">
      <c r="A180" s="43" t="s">
        <v>200</v>
      </c>
      <c r="B180" s="43">
        <v>0</v>
      </c>
      <c r="C180" s="43">
        <v>0</v>
      </c>
      <c r="D180" s="41">
        <v>0</v>
      </c>
      <c r="E180" s="35" t="s">
        <v>159</v>
      </c>
    </row>
    <row r="181" spans="1:10" ht="14.1" customHeight="1" x14ac:dyDescent="0.2">
      <c r="A181" s="43" t="s">
        <v>84</v>
      </c>
      <c r="B181" s="43">
        <f>+B180+B179</f>
        <v>0</v>
      </c>
      <c r="C181" s="43">
        <f>+C180+C179</f>
        <v>0</v>
      </c>
      <c r="D181" s="41">
        <f>+D180+D179</f>
        <v>0</v>
      </c>
      <c r="F181" s="35" t="s">
        <v>12</v>
      </c>
    </row>
    <row r="182" spans="1:10" ht="14.1" customHeight="1" x14ac:dyDescent="0.2">
      <c r="A182" s="43" t="s">
        <v>85</v>
      </c>
      <c r="B182" s="43"/>
      <c r="C182" s="43"/>
      <c r="D182" s="41"/>
    </row>
    <row r="183" spans="1:10" ht="14.1" customHeight="1" x14ac:dyDescent="0.2">
      <c r="A183" s="43" t="s">
        <v>250</v>
      </c>
      <c r="B183" s="43">
        <v>0</v>
      </c>
      <c r="C183" s="43">
        <v>0</v>
      </c>
      <c r="D183" s="41">
        <v>0</v>
      </c>
      <c r="E183" s="35" t="s">
        <v>160</v>
      </c>
    </row>
    <row r="184" spans="1:10" ht="14.1" customHeight="1" x14ac:dyDescent="0.2">
      <c r="A184" s="43" t="s">
        <v>200</v>
      </c>
      <c r="B184" s="43">
        <v>0</v>
      </c>
      <c r="C184" s="43">
        <v>0</v>
      </c>
      <c r="D184" s="41">
        <v>0</v>
      </c>
      <c r="E184" s="35" t="s">
        <v>159</v>
      </c>
    </row>
    <row r="185" spans="1:10" ht="14.1" customHeight="1" x14ac:dyDescent="0.2">
      <c r="A185" s="43" t="s">
        <v>86</v>
      </c>
      <c r="B185" s="43">
        <f>+B184+B183</f>
        <v>0</v>
      </c>
      <c r="C185" s="43">
        <f>+C184+C183</f>
        <v>0</v>
      </c>
      <c r="D185" s="41">
        <f>+D184+D183</f>
        <v>0</v>
      </c>
      <c r="F185" s="35" t="s">
        <v>12</v>
      </c>
    </row>
    <row r="186" spans="1:10" ht="14.1" customHeight="1" x14ac:dyDescent="0.2">
      <c r="A186" s="43" t="s">
        <v>87</v>
      </c>
      <c r="B186" s="43"/>
      <c r="C186" s="43"/>
      <c r="D186" s="41"/>
    </row>
    <row r="187" spans="1:10" ht="14.1" customHeight="1" x14ac:dyDescent="0.2">
      <c r="A187" s="43" t="s">
        <v>250</v>
      </c>
      <c r="B187" s="43">
        <v>0</v>
      </c>
      <c r="C187" s="43">
        <v>0</v>
      </c>
      <c r="D187" s="41">
        <v>0</v>
      </c>
      <c r="E187" s="35" t="s">
        <v>160</v>
      </c>
    </row>
    <row r="188" spans="1:10" ht="14.1" customHeight="1" x14ac:dyDescent="0.2">
      <c r="A188" s="43" t="s">
        <v>200</v>
      </c>
      <c r="B188" s="43">
        <v>0</v>
      </c>
      <c r="C188" s="43">
        <v>0</v>
      </c>
      <c r="D188" s="41">
        <v>0</v>
      </c>
      <c r="E188" s="35" t="s">
        <v>159</v>
      </c>
    </row>
    <row r="189" spans="1:10" ht="14.1" customHeight="1" x14ac:dyDescent="0.2">
      <c r="A189" s="43" t="s">
        <v>88</v>
      </c>
      <c r="B189" s="43">
        <f>+B188+B187</f>
        <v>0</v>
      </c>
      <c r="C189" s="43">
        <f>+C188+C187</f>
        <v>0</v>
      </c>
      <c r="D189" s="41">
        <f>+D188+D187</f>
        <v>0</v>
      </c>
      <c r="F189" s="35" t="s">
        <v>12</v>
      </c>
    </row>
    <row r="190" spans="1:10" ht="14.1" customHeight="1" x14ac:dyDescent="0.2">
      <c r="A190" s="43" t="s">
        <v>96</v>
      </c>
      <c r="B190" s="43"/>
      <c r="C190" s="43"/>
      <c r="D190" s="41"/>
    </row>
    <row r="191" spans="1:10" ht="14.1" customHeight="1" x14ac:dyDescent="0.2">
      <c r="A191" s="43" t="s">
        <v>250</v>
      </c>
      <c r="B191" s="43">
        <v>0</v>
      </c>
      <c r="C191" s="43">
        <v>0</v>
      </c>
      <c r="D191" s="41">
        <v>0</v>
      </c>
      <c r="E191" s="35" t="s">
        <v>160</v>
      </c>
    </row>
    <row r="192" spans="1:10" ht="14.1" customHeight="1" x14ac:dyDescent="0.2">
      <c r="A192" s="43" t="s">
        <v>200</v>
      </c>
      <c r="B192" s="43">
        <v>0</v>
      </c>
      <c r="C192" s="43">
        <v>0</v>
      </c>
      <c r="D192" s="41">
        <v>0</v>
      </c>
      <c r="E192" s="35" t="s">
        <v>159</v>
      </c>
    </row>
    <row r="193" spans="1:10" ht="14.1" customHeight="1" x14ac:dyDescent="0.2">
      <c r="A193" s="43" t="s">
        <v>97</v>
      </c>
      <c r="B193" s="43">
        <f>+B192+B191</f>
        <v>0</v>
      </c>
      <c r="C193" s="43">
        <f>+C192+C191</f>
        <v>0</v>
      </c>
      <c r="D193" s="41">
        <f>+D192+D191</f>
        <v>0</v>
      </c>
      <c r="F193" s="35" t="s">
        <v>12</v>
      </c>
    </row>
    <row r="194" spans="1:10" ht="14.1" customHeight="1" x14ac:dyDescent="0.2">
      <c r="A194" s="43" t="s">
        <v>300</v>
      </c>
      <c r="B194" s="43"/>
      <c r="C194" s="43"/>
      <c r="D194" s="41"/>
    </row>
    <row r="195" spans="1:10" ht="14.1" customHeight="1" x14ac:dyDescent="0.2">
      <c r="A195" s="43" t="s">
        <v>250</v>
      </c>
      <c r="B195" s="43">
        <v>0</v>
      </c>
      <c r="C195" s="43">
        <v>0</v>
      </c>
      <c r="D195" s="41">
        <v>0</v>
      </c>
      <c r="E195" s="35" t="s">
        <v>160</v>
      </c>
    </row>
    <row r="196" spans="1:10" ht="14.1" customHeight="1" x14ac:dyDescent="0.2">
      <c r="A196" s="43" t="s">
        <v>200</v>
      </c>
      <c r="B196" s="43">
        <v>0</v>
      </c>
      <c r="C196" s="43">
        <v>0</v>
      </c>
      <c r="D196" s="41">
        <v>0</v>
      </c>
      <c r="E196" s="35" t="s">
        <v>159</v>
      </c>
    </row>
    <row r="197" spans="1:10" ht="14.1" customHeight="1" x14ac:dyDescent="0.2">
      <c r="A197" s="43" t="s">
        <v>301</v>
      </c>
      <c r="B197" s="43">
        <f>+B196+B195</f>
        <v>0</v>
      </c>
      <c r="C197" s="43">
        <f>+C196+C195</f>
        <v>0</v>
      </c>
      <c r="D197" s="41">
        <f>+D196+D195</f>
        <v>0</v>
      </c>
      <c r="F197" s="35" t="s">
        <v>12</v>
      </c>
      <c r="H197" s="31"/>
    </row>
    <row r="198" spans="1:10" ht="14.1" customHeight="1" x14ac:dyDescent="0.2">
      <c r="A198" s="43" t="s">
        <v>244</v>
      </c>
      <c r="B198" s="43"/>
      <c r="C198" s="43"/>
      <c r="D198" s="41"/>
    </row>
    <row r="199" spans="1:10" ht="14.1" customHeight="1" x14ac:dyDescent="0.2">
      <c r="A199" s="43" t="s">
        <v>250</v>
      </c>
      <c r="B199" s="43">
        <v>0</v>
      </c>
      <c r="C199" s="43">
        <v>0</v>
      </c>
      <c r="D199" s="41">
        <v>0</v>
      </c>
      <c r="E199" s="35" t="s">
        <v>160</v>
      </c>
      <c r="J199" s="31">
        <f>-(C201-B201)</f>
        <v>0</v>
      </c>
    </row>
    <row r="200" spans="1:10" ht="14.1" customHeight="1" x14ac:dyDescent="0.2">
      <c r="A200" s="43" t="s">
        <v>200</v>
      </c>
      <c r="B200" s="43">
        <v>0</v>
      </c>
      <c r="C200" s="43">
        <v>0</v>
      </c>
      <c r="D200" s="41">
        <v>0</v>
      </c>
      <c r="E200" s="35" t="s">
        <v>159</v>
      </c>
    </row>
    <row r="201" spans="1:10" ht="14.1" customHeight="1" x14ac:dyDescent="0.2">
      <c r="A201" s="43" t="s">
        <v>191</v>
      </c>
      <c r="B201" s="43">
        <f>+B200+B199</f>
        <v>0</v>
      </c>
      <c r="C201" s="43">
        <f>+C200+C199</f>
        <v>0</v>
      </c>
      <c r="D201" s="41">
        <f>+D200+D199</f>
        <v>0</v>
      </c>
      <c r="F201" s="35" t="s">
        <v>12</v>
      </c>
      <c r="H201" s="31"/>
    </row>
    <row r="202" spans="1:10" ht="14.1" customHeight="1" x14ac:dyDescent="0.2">
      <c r="A202" s="43" t="s">
        <v>89</v>
      </c>
      <c r="B202" s="43"/>
      <c r="C202" s="43"/>
      <c r="D202" s="41"/>
    </row>
    <row r="203" spans="1:10" ht="14.1" customHeight="1" x14ac:dyDescent="0.2">
      <c r="A203" s="43" t="s">
        <v>250</v>
      </c>
      <c r="B203" s="43">
        <v>38432.04</v>
      </c>
      <c r="C203" s="43">
        <v>44284.86</v>
      </c>
      <c r="D203" s="41">
        <v>17928.84</v>
      </c>
      <c r="E203" s="35" t="s">
        <v>160</v>
      </c>
      <c r="J203" s="31">
        <f>-(C205-B205)</f>
        <v>-5852.82</v>
      </c>
    </row>
    <row r="204" spans="1:10" ht="14.1" customHeight="1" x14ac:dyDescent="0.2">
      <c r="A204" s="43" t="s">
        <v>200</v>
      </c>
      <c r="B204" s="43">
        <v>0</v>
      </c>
      <c r="C204" s="43">
        <v>0</v>
      </c>
      <c r="D204" s="41">
        <v>0</v>
      </c>
      <c r="E204" s="35" t="s">
        <v>159</v>
      </c>
    </row>
    <row r="205" spans="1:10" ht="14.1" customHeight="1" x14ac:dyDescent="0.2">
      <c r="A205" s="43" t="s">
        <v>90</v>
      </c>
      <c r="B205" s="43">
        <f>+B204+B203</f>
        <v>38432.04</v>
      </c>
      <c r="C205" s="43">
        <f>+C204+C203</f>
        <v>44284.86</v>
      </c>
      <c r="D205" s="41">
        <f>+D204+D203</f>
        <v>17928.84</v>
      </c>
      <c r="F205" s="35" t="s">
        <v>12</v>
      </c>
      <c r="H205" s="31"/>
    </row>
    <row r="206" spans="1:10" ht="14.1" customHeight="1" x14ac:dyDescent="0.2">
      <c r="A206" s="43" t="s">
        <v>218</v>
      </c>
      <c r="B206" s="43"/>
      <c r="C206" s="43"/>
      <c r="D206" s="41"/>
    </row>
    <row r="207" spans="1:10" ht="14.1" customHeight="1" x14ac:dyDescent="0.2">
      <c r="A207" s="43" t="s">
        <v>250</v>
      </c>
      <c r="B207" s="43">
        <f>65286.2-B203-B175</f>
        <v>26854.159999999996</v>
      </c>
      <c r="C207" s="43">
        <f>58204.83-C203-C175</f>
        <v>13919.970000000001</v>
      </c>
      <c r="D207" s="41">
        <f>38383.18-D203</f>
        <v>20454.34</v>
      </c>
      <c r="E207" s="35" t="s">
        <v>160</v>
      </c>
      <c r="J207" s="31">
        <f>-(C209-B209)</f>
        <v>12934.189999999995</v>
      </c>
    </row>
    <row r="208" spans="1:10" ht="14.1" customHeight="1" x14ac:dyDescent="0.2">
      <c r="A208" s="43" t="s">
        <v>200</v>
      </c>
      <c r="B208" s="43">
        <v>0</v>
      </c>
      <c r="C208" s="43">
        <v>0</v>
      </c>
      <c r="D208" s="41">
        <v>0</v>
      </c>
      <c r="E208" s="35" t="s">
        <v>159</v>
      </c>
    </row>
    <row r="209" spans="1:16" ht="14.1" customHeight="1" x14ac:dyDescent="0.2">
      <c r="A209" s="43" t="s">
        <v>220</v>
      </c>
      <c r="B209" s="43">
        <f>+B208+B207</f>
        <v>26854.159999999996</v>
      </c>
      <c r="C209" s="43">
        <f>+C208+C207</f>
        <v>13919.970000000001</v>
      </c>
      <c r="D209" s="41">
        <f>+D208+D207</f>
        <v>20454.34</v>
      </c>
      <c r="F209" s="35" t="s">
        <v>12</v>
      </c>
      <c r="H209" s="31"/>
    </row>
    <row r="210" spans="1:16" ht="14.1" customHeight="1" x14ac:dyDescent="0.2">
      <c r="A210" s="67" t="s">
        <v>182</v>
      </c>
      <c r="B210" s="67">
        <f>+B209+B205+B201+B197+B193+B189+B185+B181+B177+B173+B169+B165+B161+B157+B153</f>
        <v>65286.2</v>
      </c>
      <c r="C210" s="67">
        <f>+C209+C205+C201+C197+C193+C189+C185+C181+C177+C173+C169+C165+C161+C157+C153</f>
        <v>58204.83</v>
      </c>
      <c r="D210" s="41">
        <f>+D209+D205+D201+D197+D193+D189+D185+D181+D177+D173+D169+D165+D161+D157+D153</f>
        <v>38383.18</v>
      </c>
    </row>
    <row r="211" spans="1:16" ht="14.1" customHeight="1" x14ac:dyDescent="0.2">
      <c r="A211" s="43" t="s">
        <v>234</v>
      </c>
      <c r="B211" s="43">
        <v>0</v>
      </c>
      <c r="C211" s="43">
        <v>0</v>
      </c>
      <c r="D211" s="41">
        <v>0</v>
      </c>
      <c r="E211" s="37" t="s">
        <v>160</v>
      </c>
      <c r="F211" s="37" t="s">
        <v>327</v>
      </c>
      <c r="J211" s="31">
        <f>-(C213-B213)</f>
        <v>0</v>
      </c>
    </row>
    <row r="212" spans="1:16" ht="14.1" customHeight="1" x14ac:dyDescent="0.25">
      <c r="A212" s="44" t="s">
        <v>249</v>
      </c>
      <c r="B212" s="44">
        <f>+B211+B210+B148+B147+B141</f>
        <v>952947.75</v>
      </c>
      <c r="C212" s="44">
        <f>+C211+C210+C148+C147+C141</f>
        <v>1076903.2400000002</v>
      </c>
      <c r="D212" s="50">
        <f>+D211+D210+D148+D147+D141</f>
        <v>1167264.42</v>
      </c>
      <c r="N212" s="81">
        <f>+ROUND(B212-B114,0)</f>
        <v>0</v>
      </c>
      <c r="O212" s="49">
        <f>+ROUND(C212-C114,0)</f>
        <v>0</v>
      </c>
      <c r="P212" s="49">
        <f>+D212-D114</f>
        <v>0</v>
      </c>
    </row>
    <row r="213" spans="1:16" ht="14.1" customHeight="1" x14ac:dyDescent="0.25">
      <c r="A213" s="43" t="s">
        <v>188</v>
      </c>
      <c r="B213" s="43"/>
      <c r="C213" s="43"/>
      <c r="D213" s="41"/>
      <c r="N213" s="81">
        <f>+ROUND(B297,0)</f>
        <v>0</v>
      </c>
      <c r="O213" s="49">
        <f>+ROUND(C297,0)</f>
        <v>0</v>
      </c>
      <c r="P213" s="49">
        <f>+ROUND(D297,0)</f>
        <v>0</v>
      </c>
    </row>
    <row r="214" spans="1:16" ht="14.1" customHeight="1" x14ac:dyDescent="0.2">
      <c r="A214" s="43" t="s">
        <v>152</v>
      </c>
      <c r="B214" s="43">
        <v>1864890</v>
      </c>
      <c r="C214" s="43">
        <v>1970360</v>
      </c>
      <c r="D214" s="41">
        <f>1827910+81600</f>
        <v>1909510</v>
      </c>
    </row>
    <row r="215" spans="1:16" ht="14.1" customHeight="1" x14ac:dyDescent="0.2">
      <c r="A215" s="43" t="s">
        <v>91</v>
      </c>
      <c r="B215" s="43">
        <v>0</v>
      </c>
      <c r="C215" s="43">
        <v>0</v>
      </c>
      <c r="D215" s="43">
        <v>0</v>
      </c>
      <c r="E215" s="68"/>
    </row>
    <row r="216" spans="1:16" ht="14.1" customHeight="1" x14ac:dyDescent="0.2">
      <c r="A216" s="43" t="s">
        <v>98</v>
      </c>
      <c r="B216" s="43">
        <v>0</v>
      </c>
      <c r="C216" s="43">
        <v>0</v>
      </c>
      <c r="D216" s="43">
        <v>0</v>
      </c>
      <c r="E216" s="68"/>
    </row>
    <row r="217" spans="1:16" ht="14.1" customHeight="1" x14ac:dyDescent="0.2">
      <c r="A217" s="43" t="s">
        <v>41</v>
      </c>
      <c r="B217" s="43">
        <v>0</v>
      </c>
      <c r="C217" s="43">
        <v>0</v>
      </c>
      <c r="D217" s="43">
        <v>0</v>
      </c>
      <c r="E217" s="68"/>
      <c r="H217" s="31"/>
      <c r="I217" t="s">
        <v>20</v>
      </c>
      <c r="J217" s="31">
        <f>+SUM(J77:J216)</f>
        <v>7081.3699999999953</v>
      </c>
    </row>
    <row r="218" spans="1:16" ht="14.1" customHeight="1" x14ac:dyDescent="0.2">
      <c r="A218" s="43" t="s">
        <v>183</v>
      </c>
      <c r="B218" s="43"/>
      <c r="C218" s="43"/>
      <c r="D218" s="43"/>
      <c r="E218" s="68"/>
    </row>
    <row r="219" spans="1:16" ht="14.1" customHeight="1" x14ac:dyDescent="0.2">
      <c r="A219" s="43" t="s">
        <v>99</v>
      </c>
      <c r="B219" s="43">
        <v>0</v>
      </c>
      <c r="C219" s="43">
        <v>0</v>
      </c>
      <c r="D219" s="43">
        <v>0</v>
      </c>
      <c r="E219" s="68"/>
    </row>
    <row r="220" spans="1:16" ht="14.1" customHeight="1" x14ac:dyDescent="0.2">
      <c r="A220" s="43" t="s">
        <v>193</v>
      </c>
      <c r="B220" s="43">
        <v>5913.2</v>
      </c>
      <c r="C220" s="43">
        <v>4000.66</v>
      </c>
      <c r="D220" s="41">
        <v>9415.9</v>
      </c>
      <c r="G220" s="31"/>
    </row>
    <row r="221" spans="1:16" ht="14.1" customHeight="1" x14ac:dyDescent="0.2">
      <c r="A221" s="43" t="s">
        <v>302</v>
      </c>
      <c r="B221" s="43">
        <f>+B219+B220</f>
        <v>5913.2</v>
      </c>
      <c r="C221" s="43">
        <f>+C219+C220</f>
        <v>4000.66</v>
      </c>
      <c r="D221" s="41">
        <f>+D219+D220</f>
        <v>9415.9</v>
      </c>
      <c r="G221" s="31"/>
    </row>
    <row r="222" spans="1:16" ht="14.1" customHeight="1" x14ac:dyDescent="0.2">
      <c r="A222" s="67" t="s">
        <v>303</v>
      </c>
      <c r="B222" s="67">
        <f>+B221+B214</f>
        <v>1870803.2</v>
      </c>
      <c r="C222" s="67">
        <f>+C221+C214</f>
        <v>1974360.66</v>
      </c>
      <c r="D222" s="41">
        <f>+D221+D214</f>
        <v>1918925.9</v>
      </c>
    </row>
    <row r="223" spans="1:16" ht="14.1" customHeight="1" x14ac:dyDescent="0.2">
      <c r="A223" s="43" t="s">
        <v>190</v>
      </c>
      <c r="B223" s="43"/>
      <c r="C223" s="43"/>
      <c r="D223" s="41"/>
    </row>
    <row r="224" spans="1:16" ht="14.1" customHeight="1" x14ac:dyDescent="0.2">
      <c r="A224" s="43" t="s">
        <v>42</v>
      </c>
      <c r="B224" s="43">
        <f>11839.41+6213.09</f>
        <v>18052.5</v>
      </c>
      <c r="C224" s="43">
        <f>10658.92+6150.45</f>
        <v>16809.37</v>
      </c>
      <c r="D224" s="41">
        <f>8806.28+5829.16</f>
        <v>14635.44</v>
      </c>
    </row>
    <row r="225" spans="1:6" ht="14.1" customHeight="1" x14ac:dyDescent="0.2">
      <c r="A225" s="43" t="s">
        <v>223</v>
      </c>
      <c r="B225" s="43">
        <f>479030+47183.5+107141.43+62457.96+76636.74+55128.24+11794.9+33540.53+46418.84+7210.93+117015.04+378641.27</f>
        <v>1422199.38</v>
      </c>
      <c r="C225" s="43">
        <f>(473030)+14180.64+116112.21+82692.17+82420.32+79550.86+1281+10124.05+32661.6+59832.45+6748.27+141791.88+372603.01</f>
        <v>1473028.4600000002</v>
      </c>
      <c r="D225" s="41">
        <f>457230+11176.16+46576.93+106967.69+45602.17+137920.64+23320.59+6496.26+504417.89</f>
        <v>1339708.33</v>
      </c>
    </row>
    <row r="226" spans="1:6" ht="14.1" customHeight="1" x14ac:dyDescent="0.2">
      <c r="A226" s="43" t="s">
        <v>242</v>
      </c>
      <c r="B226" s="43">
        <v>0</v>
      </c>
      <c r="C226" s="43">
        <f>0*93638.78</f>
        <v>0</v>
      </c>
      <c r="D226" s="41">
        <v>0</v>
      </c>
    </row>
    <row r="227" spans="1:6" ht="14.1" customHeight="1" x14ac:dyDescent="0.2">
      <c r="A227" s="43" t="s">
        <v>222</v>
      </c>
      <c r="B227" s="43"/>
      <c r="C227" s="43"/>
      <c r="D227" s="41"/>
    </row>
    <row r="228" spans="1:6" ht="14.1" customHeight="1" x14ac:dyDescent="0.2">
      <c r="A228" s="43" t="s">
        <v>254</v>
      </c>
      <c r="B228" s="43">
        <f>-B230+524705.24</f>
        <v>497776.13</v>
      </c>
      <c r="C228" s="43">
        <f>-C230+535449.87</f>
        <v>510251.38</v>
      </c>
      <c r="D228" s="41">
        <v>454451.03</v>
      </c>
    </row>
    <row r="229" spans="1:6" ht="14.1" customHeight="1" x14ac:dyDescent="0.2">
      <c r="A229" s="43" t="s">
        <v>192</v>
      </c>
      <c r="B229" s="43">
        <v>0</v>
      </c>
      <c r="C229" s="43">
        <v>0</v>
      </c>
      <c r="D229" s="41">
        <v>0</v>
      </c>
    </row>
    <row r="230" spans="1:6" ht="14.1" customHeight="1" x14ac:dyDescent="0.2">
      <c r="A230" s="43" t="s">
        <v>239</v>
      </c>
      <c r="B230" s="43">
        <v>26929.11</v>
      </c>
      <c r="C230" s="43">
        <v>25198.49</v>
      </c>
      <c r="D230" s="41">
        <v>26538.12</v>
      </c>
    </row>
    <row r="231" spans="1:6" ht="14.1" customHeight="1" x14ac:dyDescent="0.2">
      <c r="A231" s="43" t="s">
        <v>43</v>
      </c>
      <c r="B231" s="43">
        <v>0</v>
      </c>
      <c r="C231" s="43">
        <v>0</v>
      </c>
      <c r="D231" s="41">
        <v>0</v>
      </c>
    </row>
    <row r="232" spans="1:6" ht="14.1" customHeight="1" x14ac:dyDescent="0.2">
      <c r="A232" s="43" t="s">
        <v>173</v>
      </c>
      <c r="B232" s="43">
        <v>0</v>
      </c>
      <c r="C232" s="43">
        <v>0</v>
      </c>
      <c r="D232" s="41">
        <v>0</v>
      </c>
    </row>
    <row r="233" spans="1:6" ht="14.1" customHeight="1" x14ac:dyDescent="0.2">
      <c r="A233" s="43" t="s">
        <v>304</v>
      </c>
      <c r="B233" s="43">
        <f>+SUM(B228:B232)</f>
        <v>524705.24</v>
      </c>
      <c r="C233" s="43">
        <f>+SUM(C228:C232)</f>
        <v>535449.87</v>
      </c>
      <c r="D233" s="41">
        <f>+SUM(D228:D232)</f>
        <v>480989.15</v>
      </c>
    </row>
    <row r="234" spans="1:6" ht="14.1" customHeight="1" x14ac:dyDescent="0.2">
      <c r="A234" s="43" t="s">
        <v>178</v>
      </c>
      <c r="B234" s="43"/>
      <c r="C234" s="43"/>
      <c r="D234" s="41"/>
    </row>
    <row r="235" spans="1:6" ht="14.1" customHeight="1" x14ac:dyDescent="0.2">
      <c r="A235" s="43" t="s">
        <v>252</v>
      </c>
      <c r="B235" s="43">
        <v>0</v>
      </c>
      <c r="C235" s="43">
        <v>0</v>
      </c>
      <c r="D235" s="41">
        <v>0</v>
      </c>
      <c r="F235" s="37" t="s">
        <v>156</v>
      </c>
    </row>
    <row r="236" spans="1:6" ht="14.1" customHeight="1" x14ac:dyDescent="0.2">
      <c r="A236" s="43" t="s">
        <v>241</v>
      </c>
      <c r="B236" s="43">
        <v>0</v>
      </c>
      <c r="C236" s="43">
        <v>0</v>
      </c>
      <c r="D236" s="41">
        <v>0</v>
      </c>
      <c r="F236" s="37" t="s">
        <v>157</v>
      </c>
    </row>
    <row r="237" spans="1:6" ht="14.1" customHeight="1" x14ac:dyDescent="0.2">
      <c r="A237" s="43" t="s">
        <v>44</v>
      </c>
      <c r="B237" s="43">
        <v>0</v>
      </c>
      <c r="C237" s="43">
        <v>0</v>
      </c>
      <c r="D237" s="41">
        <v>0</v>
      </c>
    </row>
    <row r="238" spans="1:6" ht="14.1" customHeight="1" x14ac:dyDescent="0.2">
      <c r="A238" s="43" t="s">
        <v>45</v>
      </c>
      <c r="B238" s="43">
        <v>0</v>
      </c>
      <c r="C238" s="43">
        <v>0</v>
      </c>
      <c r="D238" s="41">
        <v>0</v>
      </c>
    </row>
    <row r="239" spans="1:6" ht="14.1" customHeight="1" x14ac:dyDescent="0.2">
      <c r="A239" s="43" t="s">
        <v>305</v>
      </c>
      <c r="B239" s="43">
        <f>+SUM(B235:B238)</f>
        <v>0</v>
      </c>
      <c r="C239" s="43">
        <f>+SUM(C235:C238)</f>
        <v>0</v>
      </c>
      <c r="D239" s="41">
        <f>+SUM(D235:D238)</f>
        <v>0</v>
      </c>
    </row>
    <row r="240" spans="1:6" ht="14.1" customHeight="1" x14ac:dyDescent="0.2">
      <c r="A240" s="43" t="s">
        <v>46</v>
      </c>
      <c r="B240" s="43">
        <v>0</v>
      </c>
      <c r="C240" s="43">
        <v>0</v>
      </c>
      <c r="D240" s="41">
        <v>0</v>
      </c>
    </row>
    <row r="241" spans="1:9" ht="14.1" customHeight="1" x14ac:dyDescent="0.2">
      <c r="A241" s="43" t="s">
        <v>47</v>
      </c>
      <c r="B241" s="43">
        <v>0</v>
      </c>
      <c r="C241" s="43">
        <v>0</v>
      </c>
      <c r="D241" s="41">
        <v>0</v>
      </c>
    </row>
    <row r="242" spans="1:9" ht="14.1" customHeight="1" x14ac:dyDescent="0.2">
      <c r="A242" s="43" t="s">
        <v>100</v>
      </c>
      <c r="B242" s="43">
        <v>36.51</v>
      </c>
      <c r="C242" s="43">
        <v>12602.63</v>
      </c>
      <c r="D242" s="41">
        <v>1709.55</v>
      </c>
    </row>
    <row r="243" spans="1:9" ht="14.1" customHeight="1" x14ac:dyDescent="0.2">
      <c r="A243" s="43" t="s">
        <v>197</v>
      </c>
      <c r="B243" s="43">
        <f>18625.55+4685.93+0+14576.96+2951.69+313.04+0+4598.72</f>
        <v>45751.890000000007</v>
      </c>
      <c r="C243" s="43">
        <f>17345.25+3309+153.49+16025.92+2706.6+313.04+0+4198.92</f>
        <v>44052.22</v>
      </c>
      <c r="D243" s="41">
        <f>6420.49+50259.15+32855.69</f>
        <v>89535.33</v>
      </c>
    </row>
    <row r="244" spans="1:9" ht="14.1" customHeight="1" x14ac:dyDescent="0.2">
      <c r="A244" s="67" t="s">
        <v>306</v>
      </c>
      <c r="B244" s="67">
        <f>+B243+B242+B241+B240+B239+B233+B226+B225+B224</f>
        <v>2010745.52</v>
      </c>
      <c r="C244" s="67">
        <f>+C243+C242+C241+C240+C239+C233+C226+C225+C224</f>
        <v>2081942.5500000003</v>
      </c>
      <c r="D244" s="41">
        <f>+D243+D242+D241+D240+D239+D233+D226+D225+D224</f>
        <v>1926577.8</v>
      </c>
      <c r="H244" s="83">
        <f>+B244-B206-B242-479030</f>
        <v>1531679.01</v>
      </c>
      <c r="I244" s="83">
        <f>+C244-C206-C242-473030</f>
        <v>1596309.9200000004</v>
      </c>
    </row>
    <row r="245" spans="1:9" ht="14.1" customHeight="1" x14ac:dyDescent="0.2">
      <c r="A245" s="67" t="s">
        <v>48</v>
      </c>
      <c r="B245" s="67">
        <f>+B222-B244</f>
        <v>-139942.32000000007</v>
      </c>
      <c r="C245" s="67">
        <f>+C222-C244</f>
        <v>-107581.89000000036</v>
      </c>
      <c r="D245" s="41">
        <f>+D222-D244</f>
        <v>-7651.9000000001397</v>
      </c>
      <c r="G245" s="31"/>
    </row>
    <row r="246" spans="1:9" ht="14.1" customHeight="1" x14ac:dyDescent="0.2">
      <c r="A246" s="43" t="s">
        <v>246</v>
      </c>
      <c r="B246" s="43"/>
      <c r="C246" s="43"/>
      <c r="D246" s="41"/>
      <c r="G246" s="31"/>
    </row>
    <row r="247" spans="1:9" ht="14.1" customHeight="1" x14ac:dyDescent="0.2">
      <c r="A247" s="43" t="s">
        <v>49</v>
      </c>
      <c r="B247" s="43"/>
      <c r="C247" s="43"/>
      <c r="D247" s="41"/>
    </row>
    <row r="248" spans="1:9" ht="14.1" customHeight="1" x14ac:dyDescent="0.2">
      <c r="A248" s="43" t="s">
        <v>50</v>
      </c>
      <c r="B248" s="43">
        <v>0</v>
      </c>
      <c r="C248" s="43">
        <v>0</v>
      </c>
      <c r="D248" s="41">
        <v>0</v>
      </c>
    </row>
    <row r="249" spans="1:9" ht="14.1" customHeight="1" x14ac:dyDescent="0.2">
      <c r="A249" s="43" t="s">
        <v>51</v>
      </c>
      <c r="B249" s="43">
        <v>0</v>
      </c>
      <c r="C249" s="43">
        <v>0</v>
      </c>
      <c r="D249" s="41">
        <v>0</v>
      </c>
    </row>
    <row r="250" spans="1:9" ht="14.1" customHeight="1" x14ac:dyDescent="0.2">
      <c r="A250" s="43" t="s">
        <v>307</v>
      </c>
      <c r="B250" s="43">
        <v>0</v>
      </c>
      <c r="C250" s="43">
        <v>0</v>
      </c>
      <c r="D250" s="41">
        <v>0</v>
      </c>
    </row>
    <row r="251" spans="1:9" ht="14.1" customHeight="1" x14ac:dyDescent="0.2">
      <c r="A251" s="43" t="s">
        <v>308</v>
      </c>
      <c r="B251" s="43">
        <v>0</v>
      </c>
      <c r="C251" s="43">
        <v>0</v>
      </c>
      <c r="D251" s="41">
        <v>0</v>
      </c>
    </row>
    <row r="252" spans="1:9" ht="14.1" customHeight="1" x14ac:dyDescent="0.2">
      <c r="A252" s="43" t="s">
        <v>193</v>
      </c>
      <c r="B252" s="43">
        <v>0</v>
      </c>
      <c r="C252" s="43">
        <v>0</v>
      </c>
      <c r="D252" s="41">
        <v>0</v>
      </c>
    </row>
    <row r="253" spans="1:9" ht="14.1" customHeight="1" x14ac:dyDescent="0.2">
      <c r="A253" s="67" t="s">
        <v>52</v>
      </c>
      <c r="B253" s="67">
        <v>0</v>
      </c>
      <c r="C253" s="67">
        <v>0</v>
      </c>
      <c r="D253" s="41">
        <v>0</v>
      </c>
    </row>
    <row r="254" spans="1:9" ht="14.1" customHeight="1" x14ac:dyDescent="0.2">
      <c r="A254" s="43" t="s">
        <v>235</v>
      </c>
      <c r="B254" s="43"/>
      <c r="C254" s="43"/>
      <c r="D254" s="41"/>
    </row>
    <row r="255" spans="1:9" ht="14.1" customHeight="1" x14ac:dyDescent="0.2">
      <c r="A255" s="43" t="s">
        <v>53</v>
      </c>
      <c r="B255" s="43"/>
      <c r="C255" s="43"/>
      <c r="D255" s="41"/>
    </row>
    <row r="256" spans="1:9" ht="14.1" customHeight="1" x14ac:dyDescent="0.2">
      <c r="A256" s="43" t="s">
        <v>50</v>
      </c>
      <c r="B256" s="43">
        <v>0</v>
      </c>
      <c r="C256" s="43">
        <v>0</v>
      </c>
      <c r="D256" s="41">
        <v>0</v>
      </c>
    </row>
    <row r="257" spans="1:11" ht="14.1" customHeight="1" x14ac:dyDescent="0.2">
      <c r="A257" s="43" t="s">
        <v>51</v>
      </c>
      <c r="B257" s="43">
        <v>0</v>
      </c>
      <c r="C257" s="43">
        <v>0</v>
      </c>
      <c r="D257" s="41">
        <v>0</v>
      </c>
    </row>
    <row r="258" spans="1:11" ht="14.1" customHeight="1" x14ac:dyDescent="0.2">
      <c r="A258" s="43" t="s">
        <v>54</v>
      </c>
      <c r="B258" s="43">
        <v>0</v>
      </c>
      <c r="C258" s="43">
        <v>0</v>
      </c>
      <c r="D258" s="41">
        <v>0</v>
      </c>
    </row>
    <row r="259" spans="1:11" ht="14.1" customHeight="1" x14ac:dyDescent="0.2">
      <c r="A259" s="43" t="s">
        <v>308</v>
      </c>
      <c r="B259" s="43">
        <v>0</v>
      </c>
      <c r="C259" s="43">
        <v>0</v>
      </c>
      <c r="D259" s="41">
        <v>0</v>
      </c>
    </row>
    <row r="260" spans="1:11" ht="14.1" customHeight="1" x14ac:dyDescent="0.2">
      <c r="A260" s="43" t="s">
        <v>193</v>
      </c>
      <c r="B260" s="43">
        <v>0</v>
      </c>
      <c r="C260" s="43">
        <v>0</v>
      </c>
      <c r="D260" s="41">
        <v>0</v>
      </c>
    </row>
    <row r="261" spans="1:11" ht="14.1" customHeight="1" x14ac:dyDescent="0.2">
      <c r="A261" s="43" t="s">
        <v>55</v>
      </c>
      <c r="B261" s="43">
        <v>0</v>
      </c>
      <c r="C261" s="43">
        <v>0</v>
      </c>
      <c r="D261" s="41">
        <v>0</v>
      </c>
    </row>
    <row r="262" spans="1:11" ht="14.1" customHeight="1" x14ac:dyDescent="0.2">
      <c r="A262" s="43" t="s">
        <v>56</v>
      </c>
      <c r="B262" s="43">
        <v>0</v>
      </c>
      <c r="C262" s="43">
        <v>0</v>
      </c>
      <c r="D262" s="41">
        <v>0</v>
      </c>
    </row>
    <row r="263" spans="1:11" ht="14.1" customHeight="1" x14ac:dyDescent="0.2">
      <c r="A263" s="43" t="s">
        <v>57</v>
      </c>
      <c r="B263" s="43">
        <v>0</v>
      </c>
      <c r="C263" s="43">
        <v>0</v>
      </c>
      <c r="D263" s="41">
        <v>0</v>
      </c>
    </row>
    <row r="264" spans="1:11" ht="14.1" customHeight="1" x14ac:dyDescent="0.2">
      <c r="A264" s="43" t="s">
        <v>180</v>
      </c>
      <c r="B264" s="43"/>
      <c r="C264" s="43"/>
      <c r="D264" s="41"/>
    </row>
    <row r="265" spans="1:11" ht="14.1" customHeight="1" x14ac:dyDescent="0.2">
      <c r="A265" s="43" t="s">
        <v>50</v>
      </c>
      <c r="B265" s="43">
        <v>0</v>
      </c>
      <c r="C265" s="43">
        <v>0</v>
      </c>
      <c r="D265" s="41">
        <v>0</v>
      </c>
    </row>
    <row r="266" spans="1:11" ht="14.1" customHeight="1" x14ac:dyDescent="0.2">
      <c r="A266" s="43" t="s">
        <v>51</v>
      </c>
      <c r="B266" s="43">
        <v>0</v>
      </c>
      <c r="C266" s="43">
        <v>0</v>
      </c>
      <c r="D266" s="41">
        <v>0</v>
      </c>
    </row>
    <row r="267" spans="1:11" ht="14.1" customHeight="1" x14ac:dyDescent="0.2">
      <c r="A267" s="43" t="s">
        <v>54</v>
      </c>
      <c r="B267" s="43">
        <v>0</v>
      </c>
      <c r="C267" s="43">
        <v>0</v>
      </c>
      <c r="D267" s="41">
        <v>0</v>
      </c>
    </row>
    <row r="268" spans="1:11" ht="14.1" customHeight="1" x14ac:dyDescent="0.2">
      <c r="A268" s="43" t="s">
        <v>308</v>
      </c>
      <c r="B268" s="43">
        <v>0</v>
      </c>
      <c r="C268" s="43">
        <v>0</v>
      </c>
      <c r="D268" s="41">
        <v>0</v>
      </c>
    </row>
    <row r="269" spans="1:11" ht="14.1" customHeight="1" x14ac:dyDescent="0.2">
      <c r="A269" s="43" t="s">
        <v>193</v>
      </c>
      <c r="B269" s="43">
        <f>435.05+37103.59+106978.83+720</f>
        <v>145237.47</v>
      </c>
      <c r="C269" s="43">
        <f>34.7+(112263.72+0+1281)</f>
        <v>113579.42</v>
      </c>
      <c r="D269" s="41">
        <v>14866.17</v>
      </c>
      <c r="K269" s="69"/>
    </row>
    <row r="270" spans="1:11" ht="14.1" customHeight="1" x14ac:dyDescent="0.2">
      <c r="A270" s="43" t="s">
        <v>309</v>
      </c>
      <c r="B270" s="43">
        <f>+B269</f>
        <v>145237.47</v>
      </c>
      <c r="C270" s="43">
        <f>+C269</f>
        <v>113579.42</v>
      </c>
      <c r="D270" s="41">
        <f>+D269</f>
        <v>14866.17</v>
      </c>
    </row>
    <row r="271" spans="1:11" ht="14.1" customHeight="1" x14ac:dyDescent="0.2">
      <c r="A271" s="67" t="s">
        <v>310</v>
      </c>
      <c r="B271" s="67">
        <f>+B270+B268+B267+B266+B265</f>
        <v>145237.47</v>
      </c>
      <c r="C271" s="67">
        <f>+C270+C268+C267+C266+C265</f>
        <v>113579.42</v>
      </c>
      <c r="D271" s="41">
        <f>+D270+D268+D267+D266+D265</f>
        <v>14866.17</v>
      </c>
    </row>
    <row r="272" spans="1:11" ht="14.1" customHeight="1" x14ac:dyDescent="0.2">
      <c r="A272" s="43" t="s">
        <v>224</v>
      </c>
      <c r="B272" s="43"/>
      <c r="C272" s="43"/>
      <c r="D272" s="41"/>
    </row>
    <row r="273" spans="1:9" ht="14.1" customHeight="1" x14ac:dyDescent="0.2">
      <c r="A273" s="43" t="s">
        <v>311</v>
      </c>
      <c r="B273" s="43">
        <v>0</v>
      </c>
      <c r="C273" s="43">
        <v>0</v>
      </c>
      <c r="D273" s="41">
        <v>0</v>
      </c>
    </row>
    <row r="274" spans="1:9" ht="14.1" customHeight="1" x14ac:dyDescent="0.2">
      <c r="A274" s="43" t="s">
        <v>312</v>
      </c>
      <c r="B274" s="43">
        <v>0</v>
      </c>
      <c r="C274" s="43">
        <v>0</v>
      </c>
      <c r="D274" s="41">
        <v>0</v>
      </c>
    </row>
    <row r="275" spans="1:9" ht="14.1" customHeight="1" x14ac:dyDescent="0.2">
      <c r="A275" s="43" t="s">
        <v>313</v>
      </c>
      <c r="B275" s="43">
        <v>0</v>
      </c>
      <c r="C275" s="43">
        <v>0</v>
      </c>
      <c r="D275" s="41">
        <v>0</v>
      </c>
    </row>
    <row r="276" spans="1:9" ht="14.1" customHeight="1" x14ac:dyDescent="0.2">
      <c r="A276" s="43" t="s">
        <v>314</v>
      </c>
      <c r="B276" s="43">
        <v>0</v>
      </c>
      <c r="C276" s="43">
        <v>0</v>
      </c>
      <c r="D276" s="41">
        <v>0</v>
      </c>
    </row>
    <row r="277" spans="1:9" ht="14.1" customHeight="1" x14ac:dyDescent="0.2">
      <c r="A277" s="43" t="s">
        <v>193</v>
      </c>
      <c r="B277" s="43">
        <v>5295.15</v>
      </c>
      <c r="C277" s="43">
        <v>5997.53</v>
      </c>
      <c r="D277" s="41">
        <v>7214.27</v>
      </c>
    </row>
    <row r="278" spans="1:9" ht="14.1" customHeight="1" x14ac:dyDescent="0.2">
      <c r="A278" s="67" t="s">
        <v>315</v>
      </c>
      <c r="B278" s="67">
        <f>+B277+B276+B275+B274+B273</f>
        <v>5295.15</v>
      </c>
      <c r="C278" s="67">
        <f>+C277+C276+C275+C274+C273</f>
        <v>5997.53</v>
      </c>
      <c r="D278" s="41">
        <f>+D277+D276+D275+D274+D273</f>
        <v>7214.27</v>
      </c>
    </row>
    <row r="279" spans="1:9" ht="14.1" customHeight="1" x14ac:dyDescent="0.2">
      <c r="A279" s="43" t="s">
        <v>101</v>
      </c>
      <c r="B279" s="43">
        <v>0</v>
      </c>
      <c r="C279" s="43">
        <v>0</v>
      </c>
      <c r="D279" s="41">
        <v>0</v>
      </c>
    </row>
    <row r="280" spans="1:9" ht="14.1" customHeight="1" x14ac:dyDescent="0.2">
      <c r="A280" s="67" t="s">
        <v>58</v>
      </c>
      <c r="B280" s="67">
        <f>+B253+B271-B278+B279</f>
        <v>139942.32</v>
      </c>
      <c r="C280" s="67">
        <f>+C253+C271-C278+C279</f>
        <v>107581.89</v>
      </c>
      <c r="D280" s="41">
        <f>+D253+D271-D278+D279</f>
        <v>7651.9</v>
      </c>
      <c r="H280" s="82">
        <f>+B280-B242</f>
        <v>139905.81</v>
      </c>
      <c r="I280" s="82">
        <f>+C280-C242</f>
        <v>94979.26</v>
      </c>
    </row>
    <row r="281" spans="1:9" ht="14.1" customHeight="1" x14ac:dyDescent="0.2">
      <c r="A281" s="43" t="s">
        <v>316</v>
      </c>
      <c r="B281" s="43"/>
      <c r="C281" s="43"/>
      <c r="D281" s="41"/>
    </row>
    <row r="282" spans="1:9" ht="14.1" customHeight="1" x14ac:dyDescent="0.2">
      <c r="A282" s="43" t="s">
        <v>59</v>
      </c>
      <c r="B282" s="43"/>
      <c r="C282" s="43"/>
      <c r="D282" s="41"/>
    </row>
    <row r="283" spans="1:9" ht="14.1" customHeight="1" x14ac:dyDescent="0.2">
      <c r="A283" s="43" t="s">
        <v>60</v>
      </c>
      <c r="B283" s="43">
        <v>0</v>
      </c>
      <c r="C283" s="43">
        <v>0</v>
      </c>
      <c r="D283" s="41">
        <v>0</v>
      </c>
    </row>
    <row r="284" spans="1:9" ht="14.1" customHeight="1" x14ac:dyDescent="0.2">
      <c r="A284" s="43" t="s">
        <v>61</v>
      </c>
      <c r="B284" s="43">
        <v>0</v>
      </c>
      <c r="C284" s="43">
        <v>0</v>
      </c>
      <c r="D284" s="41">
        <v>0</v>
      </c>
    </row>
    <row r="285" spans="1:9" ht="14.1" customHeight="1" x14ac:dyDescent="0.2">
      <c r="A285" s="43" t="s">
        <v>62</v>
      </c>
      <c r="B285" s="43">
        <v>0</v>
      </c>
      <c r="C285" s="43">
        <v>0</v>
      </c>
      <c r="D285" s="41">
        <v>0</v>
      </c>
    </row>
    <row r="286" spans="1:9" ht="14.1" customHeight="1" x14ac:dyDescent="0.2">
      <c r="A286" s="43" t="s">
        <v>317</v>
      </c>
      <c r="B286" s="43">
        <v>0</v>
      </c>
      <c r="C286" s="43">
        <v>0</v>
      </c>
      <c r="D286" s="41">
        <v>0</v>
      </c>
    </row>
    <row r="287" spans="1:9" ht="14.1" customHeight="1" x14ac:dyDescent="0.2">
      <c r="A287" s="43" t="s">
        <v>318</v>
      </c>
      <c r="B287" s="43">
        <v>0</v>
      </c>
      <c r="C287" s="43">
        <v>0</v>
      </c>
      <c r="D287" s="41">
        <v>0</v>
      </c>
    </row>
    <row r="288" spans="1:9" ht="14.1" customHeight="1" x14ac:dyDescent="0.2">
      <c r="A288" s="43" t="s">
        <v>319</v>
      </c>
      <c r="B288" s="43">
        <v>0</v>
      </c>
      <c r="C288" s="43">
        <v>0</v>
      </c>
      <c r="D288" s="41">
        <v>0</v>
      </c>
    </row>
    <row r="289" spans="1:4" ht="14.1" customHeight="1" x14ac:dyDescent="0.2">
      <c r="A289" s="43" t="s">
        <v>63</v>
      </c>
      <c r="B289" s="43"/>
      <c r="C289" s="43"/>
      <c r="D289" s="41"/>
    </row>
    <row r="290" spans="1:4" ht="14.1" customHeight="1" x14ac:dyDescent="0.2">
      <c r="A290" s="43" t="s">
        <v>60</v>
      </c>
      <c r="B290" s="43">
        <v>0</v>
      </c>
      <c r="C290" s="43">
        <v>0</v>
      </c>
      <c r="D290" s="41">
        <v>0</v>
      </c>
    </row>
    <row r="291" spans="1:4" ht="14.1" customHeight="1" x14ac:dyDescent="0.2">
      <c r="A291" s="43" t="s">
        <v>61</v>
      </c>
      <c r="B291" s="43">
        <v>0</v>
      </c>
      <c r="C291" s="43">
        <v>0</v>
      </c>
      <c r="D291" s="41">
        <v>0</v>
      </c>
    </row>
    <row r="292" spans="1:4" ht="14.1" customHeight="1" x14ac:dyDescent="0.2">
      <c r="A292" s="43" t="s">
        <v>62</v>
      </c>
      <c r="B292" s="43">
        <v>0</v>
      </c>
      <c r="C292" s="43">
        <v>0</v>
      </c>
      <c r="D292" s="41">
        <v>0</v>
      </c>
    </row>
    <row r="293" spans="1:4" ht="14.1" customHeight="1" x14ac:dyDescent="0.2">
      <c r="A293" s="43" t="s">
        <v>317</v>
      </c>
      <c r="B293" s="43">
        <v>0</v>
      </c>
      <c r="C293" s="43">
        <v>0</v>
      </c>
      <c r="D293" s="41">
        <v>0</v>
      </c>
    </row>
    <row r="294" spans="1:4" ht="14.1" customHeight="1" x14ac:dyDescent="0.2">
      <c r="A294" s="43" t="s">
        <v>318</v>
      </c>
      <c r="B294" s="43">
        <v>0</v>
      </c>
      <c r="C294" s="43">
        <v>0</v>
      </c>
      <c r="D294" s="41">
        <v>0</v>
      </c>
    </row>
    <row r="295" spans="1:4" ht="14.1" customHeight="1" x14ac:dyDescent="0.2">
      <c r="A295" s="43" t="s">
        <v>320</v>
      </c>
      <c r="B295" s="43">
        <v>0</v>
      </c>
      <c r="C295" s="43">
        <v>0</v>
      </c>
      <c r="D295" s="41">
        <v>0</v>
      </c>
    </row>
    <row r="296" spans="1:4" ht="14.1" customHeight="1" x14ac:dyDescent="0.2">
      <c r="A296" s="43" t="s">
        <v>321</v>
      </c>
      <c r="B296" s="43">
        <v>0</v>
      </c>
      <c r="C296" s="43">
        <v>0</v>
      </c>
      <c r="D296" s="41">
        <v>0</v>
      </c>
    </row>
    <row r="297" spans="1:4" ht="14.1" customHeight="1" x14ac:dyDescent="0.2">
      <c r="A297" s="67" t="s">
        <v>322</v>
      </c>
      <c r="B297" s="67">
        <f>ROUND(+B280+B245,0)+0.0001</f>
        <v>1E-4</v>
      </c>
      <c r="C297" s="67">
        <f>ROUND(+C280+C245,0)+0.0001</f>
        <v>1E-4</v>
      </c>
      <c r="D297" s="41">
        <f>+D280+D245</f>
        <v>-1.4006218407303095E-10</v>
      </c>
    </row>
    <row r="298" spans="1:4" ht="14.1" customHeight="1" x14ac:dyDescent="0.2">
      <c r="A298" s="43" t="s">
        <v>323</v>
      </c>
      <c r="B298" s="43"/>
      <c r="C298" s="43"/>
      <c r="D298" s="41"/>
    </row>
    <row r="299" spans="1:4" ht="14.1" customHeight="1" x14ac:dyDescent="0.2">
      <c r="A299" s="43" t="s">
        <v>230</v>
      </c>
      <c r="B299" s="43">
        <v>0</v>
      </c>
      <c r="C299" s="43">
        <v>0</v>
      </c>
      <c r="D299" s="41">
        <v>0</v>
      </c>
    </row>
    <row r="300" spans="1:4" ht="14.1" customHeight="1" x14ac:dyDescent="0.2">
      <c r="A300" s="43" t="s">
        <v>64</v>
      </c>
      <c r="B300" s="43">
        <v>0</v>
      </c>
      <c r="C300" s="43">
        <v>0</v>
      </c>
      <c r="D300" s="41">
        <v>0</v>
      </c>
    </row>
    <row r="301" spans="1:4" ht="14.1" customHeight="1" x14ac:dyDescent="0.2">
      <c r="A301" s="43" t="s">
        <v>324</v>
      </c>
      <c r="B301" s="43">
        <v>0</v>
      </c>
      <c r="C301" s="43">
        <v>0</v>
      </c>
      <c r="D301" s="41">
        <v>0</v>
      </c>
    </row>
    <row r="302" spans="1:4" ht="14.1" customHeight="1" x14ac:dyDescent="0.2">
      <c r="A302" s="43" t="s">
        <v>65</v>
      </c>
      <c r="B302" s="43">
        <v>0</v>
      </c>
      <c r="C302" s="43">
        <v>0</v>
      </c>
      <c r="D302" s="41">
        <v>0</v>
      </c>
    </row>
    <row r="303" spans="1:4" ht="14.1" customHeight="1" x14ac:dyDescent="0.2">
      <c r="A303" s="43" t="s">
        <v>325</v>
      </c>
      <c r="B303" s="43">
        <v>0</v>
      </c>
      <c r="C303" s="43">
        <v>0</v>
      </c>
      <c r="D303" s="41">
        <v>0</v>
      </c>
    </row>
    <row r="304" spans="1:4" ht="14.1" customHeight="1" x14ac:dyDescent="0.2">
      <c r="A304" s="84" t="s">
        <v>326</v>
      </c>
      <c r="B304" s="84">
        <f>ROUND(+B297-B303,0)+0.0001</f>
        <v>1E-4</v>
      </c>
      <c r="C304" s="84">
        <f>ROUND(+C297-C303,0)+0.0001</f>
        <v>1E-4</v>
      </c>
      <c r="D304" s="41">
        <v>0</v>
      </c>
    </row>
    <row r="305" spans="3:11" ht="14.1" customHeight="1" x14ac:dyDescent="0.2">
      <c r="C305" s="46"/>
      <c r="D305" s="38">
        <v>0</v>
      </c>
      <c r="K305" s="31">
        <f>+C306-C305</f>
        <v>0</v>
      </c>
    </row>
    <row r="306" spans="3:11" ht="14.1" customHeight="1" x14ac:dyDescent="0.2">
      <c r="C306" s="46"/>
      <c r="D306" s="38">
        <v>0</v>
      </c>
      <c r="K306" s="70">
        <v>-3569206</v>
      </c>
    </row>
    <row r="307" spans="3:11" ht="14.1" customHeight="1" x14ac:dyDescent="0.2">
      <c r="C307" s="46"/>
      <c r="D307" s="38"/>
      <c r="K307" s="70">
        <f>SUM(K305:K306)</f>
        <v>-3569206</v>
      </c>
    </row>
    <row r="308" spans="3:11" ht="14.1" customHeight="1" x14ac:dyDescent="0.2">
      <c r="C308" s="46"/>
      <c r="D308" s="38"/>
    </row>
    <row r="310" spans="3:11" ht="14.1" customHeight="1" x14ac:dyDescent="0.2">
      <c r="D310" s="38"/>
    </row>
    <row r="311" spans="3:11" ht="14.1" customHeight="1" x14ac:dyDescent="0.2">
      <c r="D311" s="38"/>
    </row>
    <row r="312" spans="3:11" ht="14.1" customHeight="1" x14ac:dyDescent="0.2">
      <c r="D312" s="38"/>
    </row>
    <row r="313" spans="3:11" ht="14.1" customHeight="1" x14ac:dyDescent="0.2">
      <c r="D313" s="38"/>
    </row>
    <row r="314" spans="3:11" ht="14.1" customHeight="1" x14ac:dyDescent="0.2">
      <c r="D314" s="38"/>
    </row>
    <row r="315" spans="3:11" ht="14.1" customHeight="1" x14ac:dyDescent="0.2">
      <c r="D315" s="38"/>
    </row>
    <row r="316" spans="3:11" ht="14.1" customHeight="1" x14ac:dyDescent="0.2">
      <c r="D316" s="38"/>
    </row>
    <row r="317" spans="3:11" ht="14.1" customHeight="1" x14ac:dyDescent="0.2">
      <c r="D317" s="38"/>
    </row>
    <row r="318" spans="3:11" ht="14.1" customHeight="1" x14ac:dyDescent="0.2">
      <c r="D318" s="38"/>
    </row>
    <row r="319" spans="3:11" ht="14.1" customHeight="1" x14ac:dyDescent="0.2">
      <c r="D319" s="38"/>
    </row>
    <row r="320" spans="3:11" ht="14.1" customHeight="1" x14ac:dyDescent="0.2">
      <c r="D320" s="38"/>
    </row>
    <row r="321" spans="4:4" ht="14.1" customHeight="1" x14ac:dyDescent="0.2">
      <c r="D321" s="38"/>
    </row>
    <row r="322" spans="4:4" ht="14.1" customHeight="1" x14ac:dyDescent="0.2">
      <c r="D322" s="38"/>
    </row>
    <row r="323" spans="4:4" ht="14.1" customHeight="1" x14ac:dyDescent="0.2">
      <c r="D323" s="38"/>
    </row>
    <row r="324" spans="4:4" ht="14.1" customHeight="1" x14ac:dyDescent="0.2">
      <c r="D324" s="38"/>
    </row>
    <row r="325" spans="4:4" ht="14.1" customHeight="1" x14ac:dyDescent="0.2">
      <c r="D325" s="38"/>
    </row>
    <row r="326" spans="4:4" ht="14.1" customHeight="1" x14ac:dyDescent="0.2">
      <c r="D326" s="38"/>
    </row>
    <row r="327" spans="4:4" ht="14.1" customHeight="1" x14ac:dyDescent="0.2">
      <c r="D327" s="38"/>
    </row>
    <row r="328" spans="4:4" ht="14.1" customHeight="1" x14ac:dyDescent="0.2">
      <c r="D328" s="38"/>
    </row>
    <row r="329" spans="4:4" ht="14.1" customHeight="1" x14ac:dyDescent="0.2">
      <c r="D329" s="38"/>
    </row>
    <row r="330" spans="4:4" ht="14.1" customHeight="1" x14ac:dyDescent="0.2">
      <c r="D330" s="38"/>
    </row>
    <row r="331" spans="4:4" ht="14.1" customHeight="1" x14ac:dyDescent="0.2">
      <c r="D331" s="38"/>
    </row>
    <row r="332" spans="4:4" ht="14.1" customHeight="1" x14ac:dyDescent="0.2">
      <c r="D332" s="38"/>
    </row>
    <row r="333" spans="4:4" ht="14.1" customHeight="1" x14ac:dyDescent="0.2">
      <c r="D333" s="38"/>
    </row>
    <row r="334" spans="4:4" ht="14.1" customHeight="1" x14ac:dyDescent="0.2">
      <c r="D334" s="38"/>
    </row>
    <row r="335" spans="4:4" ht="14.1" customHeight="1" x14ac:dyDescent="0.2">
      <c r="D335" s="38"/>
    </row>
    <row r="336" spans="4:4" ht="14.1" customHeight="1" x14ac:dyDescent="0.2">
      <c r="D336" s="38"/>
    </row>
    <row r="337" spans="4:4" ht="14.1" customHeight="1" x14ac:dyDescent="0.2">
      <c r="D337" s="38"/>
    </row>
    <row r="338" spans="4:4" ht="14.1" customHeight="1" x14ac:dyDescent="0.2">
      <c r="D338" s="38"/>
    </row>
    <row r="339" spans="4:4" ht="14.1" customHeight="1" x14ac:dyDescent="0.2">
      <c r="D339" s="38"/>
    </row>
    <row r="340" spans="4:4" ht="14.1" customHeight="1" x14ac:dyDescent="0.2">
      <c r="D340" s="38"/>
    </row>
    <row r="341" spans="4:4" ht="14.1" customHeight="1" x14ac:dyDescent="0.2">
      <c r="D341" s="38"/>
    </row>
    <row r="342" spans="4:4" ht="14.1" customHeight="1" x14ac:dyDescent="0.2">
      <c r="D342" s="38"/>
    </row>
    <row r="343" spans="4:4" ht="14.1" customHeight="1" x14ac:dyDescent="0.2">
      <c r="D343" s="38"/>
    </row>
    <row r="344" spans="4:4" ht="14.1" customHeight="1" x14ac:dyDescent="0.2">
      <c r="D344" s="38"/>
    </row>
    <row r="345" spans="4:4" ht="14.1" customHeight="1" x14ac:dyDescent="0.2">
      <c r="D345" s="38"/>
    </row>
    <row r="346" spans="4:4" ht="14.1" customHeight="1" x14ac:dyDescent="0.2">
      <c r="D346" s="38"/>
    </row>
    <row r="347" spans="4:4" ht="14.1" customHeight="1" x14ac:dyDescent="0.2">
      <c r="D347" s="38"/>
    </row>
    <row r="348" spans="4:4" ht="14.1" customHeight="1" x14ac:dyDescent="0.2">
      <c r="D348" s="38"/>
    </row>
    <row r="349" spans="4:4" ht="14.1" customHeight="1" x14ac:dyDescent="0.2">
      <c r="D349" s="38"/>
    </row>
    <row r="350" spans="4:4" ht="14.1" customHeight="1" x14ac:dyDescent="0.2">
      <c r="D350" s="38"/>
    </row>
    <row r="351" spans="4:4" ht="14.1" customHeight="1" x14ac:dyDescent="0.2">
      <c r="D351" s="38"/>
    </row>
    <row r="352" spans="4:4" ht="14.1" customHeight="1" x14ac:dyDescent="0.2">
      <c r="D352" s="38"/>
    </row>
    <row r="353" spans="4:4" ht="14.1" customHeight="1" x14ac:dyDescent="0.2">
      <c r="D353" s="38"/>
    </row>
    <row r="354" spans="4:4" ht="14.1" customHeight="1" x14ac:dyDescent="0.2">
      <c r="D354" s="38"/>
    </row>
    <row r="355" spans="4:4" ht="14.1" customHeight="1" x14ac:dyDescent="0.2">
      <c r="D355" s="38"/>
    </row>
    <row r="356" spans="4:4" ht="14.1" customHeight="1" x14ac:dyDescent="0.2">
      <c r="D356" s="38"/>
    </row>
    <row r="357" spans="4:4" ht="14.1" customHeight="1" x14ac:dyDescent="0.2">
      <c r="D357" s="38"/>
    </row>
    <row r="358" spans="4:4" ht="14.1" customHeight="1" x14ac:dyDescent="0.2">
      <c r="D358" s="38"/>
    </row>
  </sheetData>
  <phoneticPr fontId="7" type="noConversion"/>
  <conditionalFormatting sqref="N1:P2">
    <cfRule type="cellIs" dxfId="1" priority="1" stopIfTrue="1" operator="equal">
      <formula>0</formula>
    </cfRule>
  </conditionalFormatting>
  <conditionalFormatting sqref="N212:P213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&amp;R&amp;"Tahoma,Normale"&amp;8&amp;K02-074Ordine dei Dottori Commercialisti e degli Esperti Contabili di Torino</oddHeader>
  </headerFooter>
  <rowBreaks count="4" manualBreakCount="4">
    <brk id="48" max="16383" man="1"/>
    <brk id="95" max="3" man="1"/>
    <brk id="106" max="3" man="1"/>
    <brk id="16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zoomScaleNormal="100" workbookViewId="0">
      <selection activeCell="D2" sqref="D2"/>
    </sheetView>
  </sheetViews>
  <sheetFormatPr defaultColWidth="14" defaultRowHeight="18" customHeight="1" outlineLevelCol="1" x14ac:dyDescent="0.25"/>
  <cols>
    <col min="1" max="1" width="2" style="1" customWidth="1"/>
    <col min="2" max="2" width="43.33203125" style="1" customWidth="1"/>
    <col min="3" max="3" width="15.6640625" style="1" bestFit="1" customWidth="1"/>
    <col min="4" max="4" width="14.6640625" style="78" customWidth="1" outlineLevel="1"/>
    <col min="5" max="5" width="13.6640625" style="1" customWidth="1"/>
    <col min="6" max="16384" width="14" style="1"/>
  </cols>
  <sheetData>
    <row r="1" spans="1:6" ht="15.75" x14ac:dyDescent="0.25">
      <c r="B1" s="2"/>
      <c r="C1" s="3">
        <v>2024</v>
      </c>
      <c r="D1" s="71">
        <v>2023</v>
      </c>
      <c r="E1" s="3" t="s">
        <v>201</v>
      </c>
    </row>
    <row r="2" spans="1:6" ht="15.75" x14ac:dyDescent="0.25">
      <c r="B2" s="4"/>
      <c r="C2" s="4"/>
      <c r="D2" s="72"/>
      <c r="E2" s="4"/>
    </row>
    <row r="3" spans="1:6" ht="15.75" x14ac:dyDescent="0.25">
      <c r="A3" s="5" t="s">
        <v>202</v>
      </c>
      <c r="C3" s="6"/>
      <c r="D3" s="73"/>
      <c r="E3" s="6"/>
    </row>
    <row r="4" spans="1:6" ht="15.75" x14ac:dyDescent="0.25">
      <c r="B4" s="5" t="s">
        <v>203</v>
      </c>
      <c r="C4" s="5">
        <f>+SUMIF(Source!$E:$E,'Riclassificati Patrimoniali'!F4,Source!$B:$B)</f>
        <v>815780.19000000006</v>
      </c>
      <c r="D4" s="79">
        <f>+SUMIF(Source!$E:$E,'Riclassificati Patrimoniali'!F4,Source!$C:$C)</f>
        <v>931988.22</v>
      </c>
      <c r="E4" s="7">
        <f>IF(D4&lt;&gt;0,(C4-D4)/D4,"")</f>
        <v>-0.12468830346374969</v>
      </c>
      <c r="F4" s="1" t="s">
        <v>153</v>
      </c>
    </row>
    <row r="5" spans="1:6" ht="15.75" x14ac:dyDescent="0.25">
      <c r="B5" s="5" t="s">
        <v>204</v>
      </c>
      <c r="C5" s="5">
        <f>+SUMIF(Source!$E:$E,'Riclassificati Patrimoniali'!F5,Source!$B:$B)</f>
        <v>137166.56</v>
      </c>
      <c r="D5" s="79">
        <f>+SUMIF(Source!$E:$E,'Riclassificati Patrimoniali'!F5,Source!$C:$C)</f>
        <v>144914.01999999999</v>
      </c>
      <c r="E5" s="7">
        <f>IF(D5&lt;&gt;0,(C5-D5)/D5,"")</f>
        <v>-5.3462460015945956E-2</v>
      </c>
      <c r="F5" s="1" t="s">
        <v>154</v>
      </c>
    </row>
    <row r="6" spans="1:6" ht="15.75" x14ac:dyDescent="0.25">
      <c r="B6" s="5" t="s">
        <v>205</v>
      </c>
      <c r="C6" s="5">
        <f>+SUMIF(Source!$E:$E,'Riclassificati Patrimoniali'!F6,Source!$B:$B)</f>
        <v>0</v>
      </c>
      <c r="D6" s="79">
        <f>+SUMIF(Source!$E:$E,'Riclassificati Patrimoniali'!F6,Source!$C:$C)</f>
        <v>0</v>
      </c>
      <c r="E6" s="7" t="str">
        <f>IF(D6&lt;&gt;0,(C6-D6)/D6,"")</f>
        <v/>
      </c>
      <c r="F6" s="1" t="s">
        <v>155</v>
      </c>
    </row>
    <row r="7" spans="1:6" ht="15.75" x14ac:dyDescent="0.25">
      <c r="A7" s="5" t="s">
        <v>206</v>
      </c>
      <c r="B7" s="5"/>
      <c r="C7" s="8">
        <f>+SUM(C3:C6)</f>
        <v>952946.75</v>
      </c>
      <c r="D7" s="76">
        <f>+SUM(D3:D6)</f>
        <v>1076902.24</v>
      </c>
      <c r="E7" s="9">
        <f>IF(D7&lt;&gt;0,(C7-D7)/D7,"")</f>
        <v>-0.11510375352176813</v>
      </c>
    </row>
    <row r="8" spans="1:6" ht="15.75" x14ac:dyDescent="0.25">
      <c r="A8" s="5" t="s">
        <v>207</v>
      </c>
      <c r="C8" s="5"/>
      <c r="D8" s="79"/>
      <c r="E8" s="5"/>
    </row>
    <row r="9" spans="1:6" ht="15.75" x14ac:dyDescent="0.25">
      <c r="B9" s="5" t="s">
        <v>208</v>
      </c>
      <c r="C9" s="5">
        <f>+SUMIF(Source!$E:$E,'Riclassificati Patrimoniali'!F9,Source!$B:$B)</f>
        <v>0</v>
      </c>
      <c r="D9" s="79">
        <f>+SUMIF(Source!$E:$E,'Riclassificati Patrimoniali'!F9,Source!$C:$C)</f>
        <v>0</v>
      </c>
      <c r="E9" s="7" t="str">
        <f>IF(D9&lt;&gt;0,(C9-D9)/D9,"")</f>
        <v/>
      </c>
      <c r="F9" s="1" t="s">
        <v>156</v>
      </c>
    </row>
    <row r="10" spans="1:6" ht="15.75" x14ac:dyDescent="0.25">
      <c r="B10" s="5" t="s">
        <v>209</v>
      </c>
      <c r="C10" s="5">
        <f>+SUMIF(Source!$E:$E,'Riclassificati Patrimoniali'!F10,Source!$B:$B)</f>
        <v>1</v>
      </c>
      <c r="D10" s="79">
        <f>+SUMIF(Source!$E:$E,'Riclassificati Patrimoniali'!F10,Source!$C:$C)</f>
        <v>1</v>
      </c>
      <c r="E10" s="7">
        <f>IF(D10&lt;&gt;0,(C10-D10)/D10,"")</f>
        <v>0</v>
      </c>
      <c r="F10" s="1" t="s">
        <v>157</v>
      </c>
    </row>
    <row r="11" spans="1:6" ht="15.75" x14ac:dyDescent="0.25">
      <c r="B11" s="5" t="s">
        <v>210</v>
      </c>
      <c r="C11" s="5">
        <f>+SUMIF(Source!$E:$E,'Riclassificati Patrimoniali'!F11,Source!$B:$B)</f>
        <v>0</v>
      </c>
      <c r="D11" s="79">
        <f>+SUMIF(Source!$E:$E,'Riclassificati Patrimoniali'!F11,Source!$C:$C)</f>
        <v>0</v>
      </c>
      <c r="E11" s="7" t="str">
        <f>IF(D11&lt;&gt;0,(C11-D11)/D11,"")</f>
        <v/>
      </c>
      <c r="F11" s="1" t="s">
        <v>158</v>
      </c>
    </row>
    <row r="12" spans="1:6" ht="15.75" x14ac:dyDescent="0.25">
      <c r="A12" s="5" t="s">
        <v>211</v>
      </c>
      <c r="B12" s="5"/>
      <c r="C12" s="8">
        <f>+SUM(C8:C11)</f>
        <v>1</v>
      </c>
      <c r="D12" s="76">
        <f>+SUM(D8:D11)</f>
        <v>1</v>
      </c>
      <c r="E12" s="10">
        <f>IF(D12&lt;&gt;0,(C12-D12)/D12,"")</f>
        <v>0</v>
      </c>
    </row>
    <row r="13" spans="1:6" ht="15.75" x14ac:dyDescent="0.25">
      <c r="A13" s="5" t="s">
        <v>212</v>
      </c>
      <c r="B13" s="5"/>
      <c r="C13" s="11">
        <f>+SUM(C7,C12)</f>
        <v>952947.75</v>
      </c>
      <c r="D13" s="77">
        <f>+SUM(D7,D12)</f>
        <v>1076903.24</v>
      </c>
      <c r="E13" s="12">
        <f>IF(D13&lt;&gt;0,(C13-D13)/D13,"")</f>
        <v>-0.11510364663774249</v>
      </c>
    </row>
    <row r="14" spans="1:6" ht="15.75" x14ac:dyDescent="0.25">
      <c r="C14" s="13"/>
      <c r="D14" s="79"/>
      <c r="E14" s="14"/>
    </row>
    <row r="15" spans="1:6" ht="15.75" x14ac:dyDescent="0.25">
      <c r="A15" s="1" t="s">
        <v>213</v>
      </c>
      <c r="C15" s="5">
        <f>+SUMIF(Source!$E:$E,'Riclassificati Patrimoniali'!F15,Source!$B:$B)</f>
        <v>65286.2</v>
      </c>
      <c r="D15" s="79">
        <f>+SUMIF(Source!$E:$E,'Riclassificati Patrimoniali'!F15,Source!$C:$C)</f>
        <v>58204.83</v>
      </c>
      <c r="E15" s="7">
        <f>IF(D15&lt;&gt;0,(C15-D15)/D15,"")</f>
        <v>0.12166292728627495</v>
      </c>
      <c r="F15" s="1" t="s">
        <v>160</v>
      </c>
    </row>
    <row r="16" spans="1:6" ht="15.75" x14ac:dyDescent="0.25">
      <c r="A16" s="1" t="s">
        <v>214</v>
      </c>
      <c r="C16" s="5">
        <f>+SUMIF(Source!$E:$E,'Riclassificati Patrimoniali'!F16,Source!$B:$B)</f>
        <v>596053.42999999993</v>
      </c>
      <c r="D16" s="79">
        <f>+SUMIF(Source!$E:$E,'Riclassificati Patrimoniali'!F16,Source!$C:$C)</f>
        <v>727090.29</v>
      </c>
      <c r="E16" s="7">
        <f>IF(D16&lt;&gt;0,(C16-D16)/D16,"")</f>
        <v>-0.18022089113581766</v>
      </c>
      <c r="F16" s="1" t="s">
        <v>159</v>
      </c>
    </row>
    <row r="17" spans="1:7" ht="15.75" x14ac:dyDescent="0.25">
      <c r="A17" s="1" t="s">
        <v>215</v>
      </c>
      <c r="C17" s="5">
        <f>+SUMIF(Source!$E:$E,'Riclassificati Patrimoniali'!F17,Source!$B:$B)-SUMIF(Source!$E:$E,'Riclassificati Patrimoniali'!G17,Source!$B:$B)</f>
        <v>291608.12</v>
      </c>
      <c r="D17" s="79">
        <f>+SUMIF(Source!$E:$E,'Riclassificati Patrimoniali'!F17,Source!$C:$C)-SUMIF(Source!$E:$E,'Riclassificati Patrimoniali'!G17,Source!$C:$C)</f>
        <v>291608.12</v>
      </c>
      <c r="E17" s="7">
        <f>IF(D17&lt;&gt;0,(C17-D17)/D17,"")</f>
        <v>0</v>
      </c>
      <c r="F17" s="1" t="s">
        <v>161</v>
      </c>
      <c r="G17" s="1" t="s">
        <v>32</v>
      </c>
    </row>
    <row r="18" spans="1:7" ht="15.75" x14ac:dyDescent="0.25">
      <c r="A18" s="1" t="s">
        <v>216</v>
      </c>
      <c r="C18" s="11">
        <f>+SUM(C15:C17)</f>
        <v>952947.74999999988</v>
      </c>
      <c r="D18" s="77">
        <f>+SUM(D15:D17)</f>
        <v>1076903.24</v>
      </c>
      <c r="E18" s="12">
        <f>IF(D18&lt;&gt;0,(C18-D18)/D18,"")</f>
        <v>-0.1151036466377426</v>
      </c>
    </row>
    <row r="19" spans="1:7" ht="18" customHeight="1" x14ac:dyDescent="0.25">
      <c r="D19" s="72"/>
    </row>
    <row r="20" spans="1:7" ht="18" customHeight="1" x14ac:dyDescent="0.25">
      <c r="B20" s="28" t="s">
        <v>163</v>
      </c>
      <c r="C20" s="4">
        <f>+C18-C13</f>
        <v>0</v>
      </c>
      <c r="D20" s="72">
        <f>+D18-D13</f>
        <v>0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&amp;L&amp;"Tahoma,Normale"&amp;K4B472C&amp;A&amp;R&amp;"Tahoma,Normale"&amp;8&amp;K02-073Ordine dei Dottori Commercialisti e degli Esperti Contabili di Torino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zoomScaleNormal="100" workbookViewId="0">
      <selection activeCell="D2" sqref="D2"/>
    </sheetView>
  </sheetViews>
  <sheetFormatPr defaultColWidth="14" defaultRowHeight="18" customHeight="1" outlineLevelCol="1" x14ac:dyDescent="0.25"/>
  <cols>
    <col min="1" max="1" width="2" style="1" customWidth="1"/>
    <col min="2" max="2" width="47.5" style="25" customWidth="1"/>
    <col min="3" max="3" width="13.6640625" style="1" customWidth="1"/>
    <col min="4" max="4" width="13.6640625" style="78" customWidth="1" outlineLevel="1"/>
    <col min="5" max="5" width="13.6640625" style="1" customWidth="1"/>
    <col min="6" max="16384" width="14" style="1"/>
  </cols>
  <sheetData>
    <row r="1" spans="1:5" ht="15.75" x14ac:dyDescent="0.25">
      <c r="B1" s="15"/>
      <c r="C1" s="3">
        <v>2024</v>
      </c>
      <c r="D1" s="71">
        <v>2023</v>
      </c>
      <c r="E1" s="3" t="s">
        <v>201</v>
      </c>
    </row>
    <row r="2" spans="1:5" ht="15.75" x14ac:dyDescent="0.25">
      <c r="B2" s="16"/>
      <c r="C2" s="4"/>
      <c r="D2" s="72"/>
      <c r="E2" s="17"/>
    </row>
    <row r="3" spans="1:5" ht="15.75" x14ac:dyDescent="0.25">
      <c r="A3" s="18"/>
      <c r="B3" s="6" t="s">
        <v>217</v>
      </c>
      <c r="C3" s="6">
        <f>+Source!B219</f>
        <v>0</v>
      </c>
      <c r="D3" s="73">
        <f>+Source!C219</f>
        <v>0</v>
      </c>
      <c r="E3" s="19" t="str">
        <f>IF(D3&lt;&gt;0,(C3-D3)/D3,"")</f>
        <v/>
      </c>
    </row>
    <row r="4" spans="1:5" ht="31.5" x14ac:dyDescent="0.25">
      <c r="A4" s="18"/>
      <c r="B4" s="6" t="s">
        <v>130</v>
      </c>
      <c r="C4" s="20">
        <f>+SUM(Source!B220:B221)</f>
        <v>11826.4</v>
      </c>
      <c r="D4" s="74">
        <f>+SUM(Source!C220:C221)</f>
        <v>8001.32</v>
      </c>
      <c r="E4" s="19">
        <f t="shared" ref="E4:E28" si="0">IF(D4&lt;&gt;0,(C4-D4)/D4,"")</f>
        <v>0.47805612074007792</v>
      </c>
    </row>
    <row r="5" spans="1:5" ht="15.75" x14ac:dyDescent="0.25">
      <c r="A5" s="18"/>
      <c r="B5" s="6" t="s">
        <v>131</v>
      </c>
      <c r="C5" s="6">
        <f>+Source!B222</f>
        <v>1870803.2</v>
      </c>
      <c r="D5" s="73">
        <f>+Source!C222</f>
        <v>1974360.66</v>
      </c>
      <c r="E5" s="19">
        <f t="shared" si="0"/>
        <v>-5.2451136257951961E-2</v>
      </c>
    </row>
    <row r="6" spans="1:5" ht="15.75" x14ac:dyDescent="0.25">
      <c r="A6" s="18"/>
      <c r="B6" s="6" t="s">
        <v>132</v>
      </c>
      <c r="C6" s="6">
        <f>+Source!B226</f>
        <v>0</v>
      </c>
      <c r="D6" s="73">
        <f>+Source!C226</f>
        <v>0</v>
      </c>
      <c r="E6" s="19" t="str">
        <f>IF(D6&lt;&gt;0,(C6-D6)/D6,"")</f>
        <v/>
      </c>
    </row>
    <row r="7" spans="1:5" ht="15.75" x14ac:dyDescent="0.25">
      <c r="A7" s="5" t="s">
        <v>133</v>
      </c>
      <c r="B7" s="21"/>
      <c r="C7" s="22">
        <f>+SUM(C3:C6)</f>
        <v>1882629.5999999999</v>
      </c>
      <c r="D7" s="75">
        <f>+SUM(D3:D6)</f>
        <v>1982361.98</v>
      </c>
      <c r="E7" s="23">
        <f t="shared" si="0"/>
        <v>-5.0309873275515567E-2</v>
      </c>
    </row>
    <row r="8" spans="1:5" ht="31.5" x14ac:dyDescent="0.25">
      <c r="B8" s="6" t="s">
        <v>134</v>
      </c>
      <c r="C8" s="20">
        <f>+Source!B229</f>
        <v>0</v>
      </c>
      <c r="D8" s="74">
        <f>+Source!C229</f>
        <v>0</v>
      </c>
      <c r="E8" s="24" t="str">
        <f t="shared" si="0"/>
        <v/>
      </c>
    </row>
    <row r="9" spans="1:5" ht="31.5" x14ac:dyDescent="0.25">
      <c r="B9" s="6" t="s">
        <v>135</v>
      </c>
      <c r="C9" s="20">
        <f>Source!B245</f>
        <v>-139942.32000000007</v>
      </c>
      <c r="D9" s="74">
        <f>Source!C245</f>
        <v>-107581.89000000036</v>
      </c>
      <c r="E9" s="19">
        <f t="shared" si="0"/>
        <v>0.30079811760138803</v>
      </c>
    </row>
    <row r="10" spans="1:5" ht="15.75" x14ac:dyDescent="0.25">
      <c r="B10" s="6" t="s">
        <v>136</v>
      </c>
      <c r="C10" s="6">
        <f>+Source!B230+Source!B231</f>
        <v>26929.11</v>
      </c>
      <c r="D10" s="73">
        <f>+Source!C230+Source!C231</f>
        <v>25198.49</v>
      </c>
      <c r="E10" s="19">
        <f t="shared" si="0"/>
        <v>6.8679512145370575E-2</v>
      </c>
    </row>
    <row r="11" spans="1:5" ht="15.75" x14ac:dyDescent="0.25">
      <c r="A11" s="18" t="s">
        <v>137</v>
      </c>
      <c r="B11" s="6"/>
      <c r="C11" s="22">
        <f>C7-SUM(C8:C10)</f>
        <v>1995642.8099999998</v>
      </c>
      <c r="D11" s="75">
        <f>D7-SUM(D8:D10)</f>
        <v>2064745.3800000004</v>
      </c>
      <c r="E11" s="23">
        <f t="shared" si="0"/>
        <v>-3.346784095964439E-2</v>
      </c>
    </row>
    <row r="12" spans="1:5" ht="15.75" x14ac:dyDescent="0.25">
      <c r="B12" s="18" t="s">
        <v>138</v>
      </c>
      <c r="C12" s="6">
        <f>+Source!B238</f>
        <v>0</v>
      </c>
      <c r="D12" s="73">
        <f>+Source!C238</f>
        <v>0</v>
      </c>
      <c r="E12" s="19" t="str">
        <f t="shared" si="0"/>
        <v/>
      </c>
    </row>
    <row r="13" spans="1:5" ht="15.75" x14ac:dyDescent="0.25">
      <c r="A13" s="18" t="s">
        <v>139</v>
      </c>
      <c r="B13" s="21"/>
      <c r="C13" s="22">
        <f>+C11-C12</f>
        <v>1995642.8099999998</v>
      </c>
      <c r="D13" s="75">
        <f>+D11-D12</f>
        <v>2064745.3800000004</v>
      </c>
      <c r="E13" s="23">
        <f t="shared" si="0"/>
        <v>-3.346784095964439E-2</v>
      </c>
    </row>
    <row r="14" spans="1:5" ht="15.75" x14ac:dyDescent="0.25">
      <c r="B14" s="18" t="s">
        <v>140</v>
      </c>
      <c r="C14" s="6">
        <f>+SUM(Source!B240:B243)</f>
        <v>45788.400000000009</v>
      </c>
      <c r="D14" s="73">
        <f>+SUM(Source!C240:C243)</f>
        <v>56654.85</v>
      </c>
      <c r="E14" s="19">
        <f t="shared" si="0"/>
        <v>-0.19180087847730584</v>
      </c>
    </row>
    <row r="15" spans="1:5" ht="15.75" x14ac:dyDescent="0.25">
      <c r="B15" s="18" t="s">
        <v>141</v>
      </c>
      <c r="C15" s="6">
        <f>+SUM(Source!B246:B247)</f>
        <v>0</v>
      </c>
      <c r="D15" s="73">
        <f>+SUM(Source!C246:C247)</f>
        <v>0</v>
      </c>
      <c r="E15" s="19" t="str">
        <f t="shared" si="0"/>
        <v/>
      </c>
    </row>
    <row r="16" spans="1:5" ht="15.75" x14ac:dyDescent="0.25">
      <c r="B16" s="18" t="s">
        <v>143</v>
      </c>
      <c r="C16" s="6">
        <f>Source!B248</f>
        <v>0</v>
      </c>
      <c r="D16" s="73">
        <f>Source!C248</f>
        <v>0</v>
      </c>
      <c r="E16" s="19" t="str">
        <f>IF(D16&lt;&gt;0,(C16-D16)/D16,"")</f>
        <v/>
      </c>
    </row>
    <row r="17" spans="1:5" ht="15.75" x14ac:dyDescent="0.25">
      <c r="A17" s="18" t="s">
        <v>142</v>
      </c>
      <c r="B17" s="21"/>
      <c r="C17" s="22">
        <f>+C13-SUM(C14:C16)</f>
        <v>1949854.41</v>
      </c>
      <c r="D17" s="75">
        <f>+D13-SUM(D14:D16)</f>
        <v>2008090.5300000003</v>
      </c>
      <c r="E17" s="23">
        <f t="shared" si="0"/>
        <v>-2.9000744304092871E-2</v>
      </c>
    </row>
    <row r="18" spans="1:5" ht="15.75" x14ac:dyDescent="0.25">
      <c r="A18" s="18"/>
      <c r="B18" s="18" t="s">
        <v>170</v>
      </c>
      <c r="C18" s="6">
        <v>0</v>
      </c>
      <c r="D18" s="73">
        <v>0</v>
      </c>
      <c r="E18" s="24" t="str">
        <f>IF(D18&lt;&gt;0,(C18-D18)/D18,"")</f>
        <v/>
      </c>
    </row>
    <row r="19" spans="1:5" ht="15.75" x14ac:dyDescent="0.25">
      <c r="B19" s="18" t="s">
        <v>144</v>
      </c>
      <c r="C19" s="6">
        <f>+Source!B256+Source!B263+Source!B272</f>
        <v>0</v>
      </c>
      <c r="D19" s="73">
        <f>+Source!C256+Source!C263+Source!C272</f>
        <v>0</v>
      </c>
      <c r="E19" s="19" t="str">
        <f t="shared" si="0"/>
        <v/>
      </c>
    </row>
    <row r="20" spans="1:5" ht="15.75" x14ac:dyDescent="0.25">
      <c r="B20" s="18" t="s">
        <v>145</v>
      </c>
      <c r="C20" s="6">
        <f>-Source!B278</f>
        <v>-5295.15</v>
      </c>
      <c r="D20" s="73">
        <f>-Source!C278</f>
        <v>-5997.53</v>
      </c>
      <c r="E20" s="19">
        <f t="shared" si="0"/>
        <v>-0.11711154425238392</v>
      </c>
    </row>
    <row r="21" spans="1:5" ht="15.75" x14ac:dyDescent="0.25">
      <c r="B21" s="18" t="s">
        <v>171</v>
      </c>
      <c r="C21" s="6">
        <f>+Source!B279</f>
        <v>0</v>
      </c>
      <c r="D21" s="73">
        <f>+Source!C279</f>
        <v>0</v>
      </c>
      <c r="E21" s="19" t="str">
        <f t="shared" si="0"/>
        <v/>
      </c>
    </row>
    <row r="22" spans="1:5" ht="15.75" x14ac:dyDescent="0.25">
      <c r="B22" s="18" t="s">
        <v>259</v>
      </c>
      <c r="C22" s="6">
        <f>+Source!B286-Source!B291</f>
        <v>0</v>
      </c>
      <c r="D22" s="73">
        <f>+Source!C286-Source!C291</f>
        <v>0</v>
      </c>
      <c r="E22" s="19" t="str">
        <f>IF(D22&lt;&gt;0,(C22-D22)/D22,"")</f>
        <v/>
      </c>
    </row>
    <row r="23" spans="1:5" ht="15.75" x14ac:dyDescent="0.25">
      <c r="A23" s="18" t="s">
        <v>146</v>
      </c>
      <c r="B23" s="21"/>
      <c r="C23" s="22">
        <f>+C17+SUM(C18:C22)</f>
        <v>1944559.26</v>
      </c>
      <c r="D23" s="75">
        <f>+D17+SUM(D18:D22)</f>
        <v>2002093.0000000002</v>
      </c>
      <c r="E23" s="23">
        <f t="shared" si="0"/>
        <v>-2.8736796942000306E-2</v>
      </c>
    </row>
    <row r="24" spans="1:5" ht="15.75" x14ac:dyDescent="0.25">
      <c r="B24" s="18" t="s">
        <v>147</v>
      </c>
      <c r="C24" s="6">
        <f>+Source!B298</f>
        <v>0</v>
      </c>
      <c r="D24" s="73">
        <f>+Source!C298</f>
        <v>0</v>
      </c>
      <c r="E24" s="19" t="str">
        <f t="shared" si="0"/>
        <v/>
      </c>
    </row>
    <row r="25" spans="1:5" ht="15.75" x14ac:dyDescent="0.25">
      <c r="B25" s="1" t="s">
        <v>148</v>
      </c>
      <c r="C25" s="4">
        <f>-Source!B304</f>
        <v>-1E-4</v>
      </c>
      <c r="D25" s="72">
        <f>-Source!C304</f>
        <v>-1E-4</v>
      </c>
      <c r="E25" s="17">
        <f t="shared" si="0"/>
        <v>0</v>
      </c>
    </row>
    <row r="26" spans="1:5" ht="15.75" x14ac:dyDescent="0.25">
      <c r="A26" s="1" t="s">
        <v>149</v>
      </c>
      <c r="C26" s="8">
        <f>+C23+SUM(C24:C25)</f>
        <v>1944559.2598999999</v>
      </c>
      <c r="D26" s="76">
        <f>+D23+SUM(D24:D25)</f>
        <v>2002092.9999000002</v>
      </c>
      <c r="E26" s="26">
        <f t="shared" si="0"/>
        <v>-2.8736796943435644E-2</v>
      </c>
    </row>
    <row r="27" spans="1:5" ht="15.75" x14ac:dyDescent="0.25">
      <c r="B27" s="1" t="s">
        <v>150</v>
      </c>
      <c r="C27" s="4">
        <f>-SUM(Source!B312)</f>
        <v>0</v>
      </c>
      <c r="D27" s="72">
        <f>-SUM(Source!C312)</f>
        <v>0</v>
      </c>
      <c r="E27" s="17" t="str">
        <f t="shared" si="0"/>
        <v/>
      </c>
    </row>
    <row r="28" spans="1:5" ht="15.75" x14ac:dyDescent="0.25">
      <c r="A28" s="1" t="s">
        <v>151</v>
      </c>
      <c r="C28" s="11">
        <f>C26+SUM(C27)</f>
        <v>1944559.2598999999</v>
      </c>
      <c r="D28" s="77">
        <f>D26+SUM(D27)</f>
        <v>2002092.9999000002</v>
      </c>
      <c r="E28" s="27">
        <f t="shared" si="0"/>
        <v>-2.8736796943435644E-2</v>
      </c>
    </row>
    <row r="29" spans="1:5" ht="15.75" x14ac:dyDescent="0.25">
      <c r="C29" s="4"/>
      <c r="D29" s="72"/>
      <c r="E29" s="4"/>
    </row>
    <row r="30" spans="1:5" ht="15.75" x14ac:dyDescent="0.25">
      <c r="C30" s="4"/>
      <c r="D30" s="72"/>
      <c r="E30" s="4"/>
    </row>
    <row r="31" spans="1:5" ht="15.75" x14ac:dyDescent="0.25">
      <c r="C31" s="4">
        <f>+C28-Source!B313</f>
        <v>1944559.2598999999</v>
      </c>
      <c r="D31" s="72">
        <f>+D28-Source!C313</f>
        <v>2002092.9999000002</v>
      </c>
    </row>
    <row r="32" spans="1:5" ht="15.75" x14ac:dyDescent="0.25"/>
    <row r="33" ht="15.75" x14ac:dyDescent="0.25"/>
    <row r="34" ht="15.75" x14ac:dyDescent="0.25"/>
    <row r="35" ht="15.75" x14ac:dyDescent="0.25"/>
  </sheetData>
  <phoneticPr fontId="7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&amp;L&amp;"Tahoma,Normale"&amp;K4B472C&amp;A&amp;R&amp;"Tahoma,Normale"&amp;8&amp;K02-073Ordine dei Dottori Commercialisti e degli Esperti Contabili di Torino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F50"/>
  <sheetViews>
    <sheetView tabSelected="1" zoomScaleNormal="100" zoomScaleSheetLayoutView="110" workbookViewId="0">
      <selection activeCell="C1" sqref="C1"/>
    </sheetView>
  </sheetViews>
  <sheetFormatPr defaultColWidth="14" defaultRowHeight="18" customHeight="1" x14ac:dyDescent="0.2"/>
  <cols>
    <col min="1" max="1" width="3.33203125" style="51" customWidth="1"/>
    <col min="2" max="2" width="80.83203125" style="52" customWidth="1"/>
    <col min="3" max="3" width="16.83203125" style="80" customWidth="1"/>
    <col min="4" max="4" width="14.1640625" style="5" hidden="1" customWidth="1"/>
    <col min="5" max="5" width="3.6640625" style="5" customWidth="1"/>
    <col min="6" max="6" width="97.33203125" style="33" hidden="1" customWidth="1"/>
    <col min="7" max="16384" width="14" style="5"/>
  </cols>
  <sheetData>
    <row r="8" spans="1:6" ht="18" customHeight="1" x14ac:dyDescent="0.2">
      <c r="C8" s="53"/>
    </row>
    <row r="9" spans="1:6" ht="18" customHeight="1" x14ac:dyDescent="0.2">
      <c r="C9" s="53"/>
    </row>
    <row r="10" spans="1:6" ht="17.25" x14ac:dyDescent="0.2">
      <c r="A10" s="54" t="s">
        <v>23</v>
      </c>
      <c r="C10" s="55">
        <f>+C50</f>
        <v>-1.4551915228366852E-10</v>
      </c>
      <c r="D10" s="30">
        <f>+D50</f>
        <v>1.4551915228366852E-10</v>
      </c>
      <c r="F10" s="32" t="s">
        <v>21</v>
      </c>
    </row>
    <row r="11" spans="1:6" ht="8.1" customHeight="1" x14ac:dyDescent="0.2">
      <c r="C11" s="53"/>
    </row>
    <row r="12" spans="1:6" s="29" customFormat="1" ht="17.25" x14ac:dyDescent="0.2">
      <c r="A12" s="86" t="s">
        <v>31</v>
      </c>
      <c r="B12" s="86"/>
      <c r="C12" s="56">
        <v>0</v>
      </c>
      <c r="D12" s="3">
        <v>2015</v>
      </c>
      <c r="F12" s="34"/>
    </row>
    <row r="13" spans="1:6" ht="8.1" customHeight="1" x14ac:dyDescent="0.2">
      <c r="C13" s="53"/>
    </row>
    <row r="14" spans="1:6" ht="18" customHeight="1" x14ac:dyDescent="0.3">
      <c r="A14" s="57"/>
      <c r="B14" s="58" t="s">
        <v>33</v>
      </c>
      <c r="C14" s="59">
        <f>+Source!B304</f>
        <v>1E-4</v>
      </c>
      <c r="D14" s="29">
        <f>+Source!C304</f>
        <v>1E-4</v>
      </c>
      <c r="F14" s="33" t="s">
        <v>18</v>
      </c>
    </row>
    <row r="15" spans="1:6" ht="18" customHeight="1" x14ac:dyDescent="0.2">
      <c r="B15" s="52" t="s">
        <v>34</v>
      </c>
      <c r="C15" s="53">
        <f>+Source!B235+Source!B236</f>
        <v>0</v>
      </c>
      <c r="D15" s="5">
        <f>+Source!C235+Source!C236</f>
        <v>0</v>
      </c>
      <c r="F15" s="33" t="s">
        <v>19</v>
      </c>
    </row>
    <row r="16" spans="1:6" ht="18" customHeight="1" x14ac:dyDescent="0.2">
      <c r="B16" s="52" t="s">
        <v>16</v>
      </c>
      <c r="C16" s="53">
        <f>+Source!B147-Source!C147</f>
        <v>-147115.91000000003</v>
      </c>
      <c r="D16" s="5">
        <f>+Source!C147-Source!D147</f>
        <v>-158042.74999999994</v>
      </c>
      <c r="F16" s="33" t="s">
        <v>329</v>
      </c>
    </row>
    <row r="17" spans="1:6" ht="18" customHeight="1" x14ac:dyDescent="0.2">
      <c r="B17" s="52" t="s">
        <v>257</v>
      </c>
      <c r="C17" s="53">
        <f>+Source!B148-Source!C148</f>
        <v>16079.049999999988</v>
      </c>
      <c r="D17" s="5">
        <f>+Source!C148-Source!D148</f>
        <v>47859.920000000013</v>
      </c>
      <c r="F17" s="33" t="s">
        <v>328</v>
      </c>
    </row>
    <row r="18" spans="1:6" ht="18" customHeight="1" x14ac:dyDescent="0.2">
      <c r="B18" s="52" t="s">
        <v>35</v>
      </c>
      <c r="C18" s="53">
        <f>(Source!C64-Source!B64)*1</f>
        <v>0</v>
      </c>
      <c r="D18" s="5">
        <f>(Source!D64-Source!C64)*1</f>
        <v>0</v>
      </c>
      <c r="F18" s="33" t="s">
        <v>328</v>
      </c>
    </row>
    <row r="19" spans="1:6" ht="18" customHeight="1" x14ac:dyDescent="0.2">
      <c r="B19" s="52" t="s">
        <v>36</v>
      </c>
      <c r="C19" s="53">
        <f>+Source!C70-Source!B70</f>
        <v>7747.4599999999919</v>
      </c>
      <c r="D19" s="5">
        <f>+Source!D70-Source!C70</f>
        <v>-35423.26999999999</v>
      </c>
      <c r="F19" s="33" t="s">
        <v>328</v>
      </c>
    </row>
    <row r="20" spans="1:6" ht="18" customHeight="1" x14ac:dyDescent="0.2">
      <c r="B20" s="52" t="s">
        <v>15</v>
      </c>
      <c r="C20" s="53">
        <f>+Source!B177-Source!C177</f>
        <v>0</v>
      </c>
      <c r="D20" s="5">
        <f>+Source!C177-Source!D177</f>
        <v>0</v>
      </c>
      <c r="F20" s="33" t="s">
        <v>328</v>
      </c>
    </row>
    <row r="21" spans="1:6" ht="18" customHeight="1" x14ac:dyDescent="0.2">
      <c r="B21" s="52" t="s">
        <v>37</v>
      </c>
      <c r="C21" s="53">
        <f>+Source!C113-Source!B113</f>
        <v>0</v>
      </c>
      <c r="D21" s="5">
        <f>+Source!D113-Source!C113</f>
        <v>0</v>
      </c>
      <c r="F21" s="33" t="s">
        <v>328</v>
      </c>
    </row>
    <row r="22" spans="1:6" ht="18" customHeight="1" x14ac:dyDescent="0.2">
      <c r="B22" s="52" t="s">
        <v>38</v>
      </c>
      <c r="C22" s="53">
        <f>+Source!B211-Source!C211</f>
        <v>0</v>
      </c>
      <c r="D22" s="5">
        <f>+Source!C211-Source!D211</f>
        <v>0</v>
      </c>
      <c r="F22" s="33" t="s">
        <v>328</v>
      </c>
    </row>
    <row r="23" spans="1:6" ht="18" customHeight="1" x14ac:dyDescent="0.2">
      <c r="B23" s="52" t="s">
        <v>39</v>
      </c>
      <c r="C23" s="53">
        <f>(SUMIF(Source!F:F,"VACCN",Source!C:C)-SUMIF(Source!F:F,"VACCN",Source!B:B)+SUMIF(Source!F:F,"VPCCN",Source!B:B)-SUMIF(Source!F:F,"VPCCN",Source!C:C))+1</f>
        <v>7082.3699999999953</v>
      </c>
      <c r="D23" s="5">
        <f>(SUMIF(Source!F:F,"VACCN",Source!D:D)-SUMIF(Source!F:F,"VACCN",Source!C:C)+SUMIF(Source!F:F,"VPCCN",Source!C:C)-SUMIF(Source!F:F,"VPCCN",Source!D:D))+1</f>
        <v>19822.650000000001</v>
      </c>
      <c r="F23" s="33" t="s">
        <v>260</v>
      </c>
    </row>
    <row r="24" spans="1:6" ht="8.1" customHeight="1" x14ac:dyDescent="0.2">
      <c r="B24" s="60"/>
      <c r="C24" s="61"/>
    </row>
    <row r="25" spans="1:6" ht="18" customHeight="1" x14ac:dyDescent="0.2">
      <c r="A25" s="57" t="s">
        <v>40</v>
      </c>
      <c r="C25" s="62">
        <f>+SUM(C14:C24)</f>
        <v>-116207.02990000005</v>
      </c>
      <c r="D25" s="11">
        <f>+SUM(D14:D24)</f>
        <v>-125783.44989999992</v>
      </c>
    </row>
    <row r="26" spans="1:6" ht="8.1" customHeight="1" x14ac:dyDescent="0.2">
      <c r="C26" s="53"/>
    </row>
    <row r="27" spans="1:6" ht="18" customHeight="1" x14ac:dyDescent="0.2">
      <c r="A27" s="57" t="s">
        <v>25</v>
      </c>
      <c r="C27" s="53"/>
    </row>
    <row r="28" spans="1:6" ht="8.1" customHeight="1" x14ac:dyDescent="0.3">
      <c r="A28" s="63"/>
      <c r="C28" s="53"/>
    </row>
    <row r="29" spans="1:6" ht="18" customHeight="1" x14ac:dyDescent="0.2">
      <c r="B29" s="52" t="s">
        <v>6</v>
      </c>
      <c r="C29" s="53">
        <f>+Source!C15-Source!B15-Source!B235</f>
        <v>0</v>
      </c>
      <c r="D29" s="5">
        <f>+Source!D15-Source!C15-Source!C235</f>
        <v>0</v>
      </c>
      <c r="F29" s="33" t="s">
        <v>330</v>
      </c>
    </row>
    <row r="30" spans="1:6" ht="18" customHeight="1" x14ac:dyDescent="0.2">
      <c r="B30" s="52" t="s">
        <v>7</v>
      </c>
      <c r="C30" s="53">
        <f>+Source!C22-Source!B22-Source!B236</f>
        <v>0</v>
      </c>
      <c r="D30" s="5">
        <f>+Source!D22-Source!C22-Source!C236</f>
        <v>0</v>
      </c>
      <c r="F30" s="33" t="s">
        <v>330</v>
      </c>
    </row>
    <row r="31" spans="1:6" ht="18" customHeight="1" x14ac:dyDescent="0.2">
      <c r="B31" s="52" t="s">
        <v>8</v>
      </c>
      <c r="C31" s="53">
        <f>+Source!C55-Source!B55</f>
        <v>0</v>
      </c>
      <c r="D31" s="5">
        <f>+Source!D55-Source!C55</f>
        <v>0</v>
      </c>
      <c r="F31" s="33" t="s">
        <v>331</v>
      </c>
    </row>
    <row r="32" spans="1:6" ht="8.1" customHeight="1" x14ac:dyDescent="0.2">
      <c r="A32" s="57"/>
      <c r="C32" s="53"/>
    </row>
    <row r="33" spans="1:6" ht="18" customHeight="1" x14ac:dyDescent="0.2">
      <c r="A33" s="57" t="s">
        <v>26</v>
      </c>
      <c r="C33" s="62">
        <f>+SUM(C27:C32)</f>
        <v>0</v>
      </c>
      <c r="D33" s="11">
        <f>+SUM(D27:D32)</f>
        <v>0</v>
      </c>
    </row>
    <row r="34" spans="1:6" ht="8.1" customHeight="1" x14ac:dyDescent="0.25">
      <c r="A34" s="64"/>
      <c r="C34" s="53"/>
    </row>
    <row r="35" spans="1:6" ht="18" customHeight="1" x14ac:dyDescent="0.2">
      <c r="A35" s="57" t="s">
        <v>27</v>
      </c>
      <c r="C35" s="53"/>
    </row>
    <row r="36" spans="1:6" ht="8.1" customHeight="1" x14ac:dyDescent="0.3">
      <c r="A36" s="63"/>
      <c r="C36" s="53"/>
    </row>
    <row r="37" spans="1:6" ht="18" customHeight="1" x14ac:dyDescent="0.2">
      <c r="B37" s="60" t="s">
        <v>29</v>
      </c>
      <c r="C37" s="53"/>
    </row>
    <row r="38" spans="1:6" ht="18" customHeight="1" x14ac:dyDescent="0.2">
      <c r="B38" s="52" t="s">
        <v>9</v>
      </c>
      <c r="C38" s="53">
        <f>+Source!B141-Source!C141-C14-1</f>
        <v>-1.0001</v>
      </c>
      <c r="D38" s="5">
        <f>+Source!C141-Source!D141-D14-1</f>
        <v>-1.0001</v>
      </c>
      <c r="F38" s="33" t="s">
        <v>332</v>
      </c>
    </row>
    <row r="39" spans="1:6" ht="18" customHeight="1" x14ac:dyDescent="0.3">
      <c r="A39" s="63"/>
      <c r="B39" s="60" t="s">
        <v>28</v>
      </c>
      <c r="C39" s="53"/>
    </row>
    <row r="40" spans="1:6" ht="18" customHeight="1" x14ac:dyDescent="0.2">
      <c r="B40" s="52" t="s">
        <v>10</v>
      </c>
      <c r="C40" s="53">
        <f>+Source!B153-Source!C153+Source!B157-Source!C157+Source!B161-Source!C161+Source!B165-Source!C165+Source!B169-Source!C169</f>
        <v>0</v>
      </c>
      <c r="D40" s="5">
        <f>+Source!C153-Source!D153+Source!C157-Source!D157+Source!C161-Source!D161+Source!C165-Source!D165+Source!C169-Source!D169</f>
        <v>0</v>
      </c>
      <c r="F40" s="33" t="s">
        <v>333</v>
      </c>
    </row>
    <row r="41" spans="1:6" ht="8.1" customHeight="1" x14ac:dyDescent="0.2">
      <c r="C41" s="53"/>
    </row>
    <row r="42" spans="1:6" ht="18" customHeight="1" x14ac:dyDescent="0.2">
      <c r="A42" s="57" t="s">
        <v>22</v>
      </c>
      <c r="C42" s="62">
        <f>SUM(C35:C41)</f>
        <v>-1.0001</v>
      </c>
      <c r="D42" s="11">
        <f>SUM(D35:D41)</f>
        <v>-1.0001</v>
      </c>
    </row>
    <row r="43" spans="1:6" ht="8.1" customHeight="1" x14ac:dyDescent="0.2">
      <c r="C43" s="53"/>
    </row>
    <row r="44" spans="1:6" ht="18" customHeight="1" x14ac:dyDescent="0.2">
      <c r="A44" s="57" t="s">
        <v>30</v>
      </c>
      <c r="B44" s="65"/>
      <c r="C44" s="59">
        <f>SUM(C25,C33,C42)</f>
        <v>-116208.03000000006</v>
      </c>
      <c r="D44" s="29">
        <f>SUM(D25,D33,D42)</f>
        <v>-125784.44999999992</v>
      </c>
    </row>
    <row r="45" spans="1:6" ht="8.1" customHeight="1" x14ac:dyDescent="0.2">
      <c r="C45" s="53"/>
    </row>
    <row r="46" spans="1:6" ht="18" customHeight="1" x14ac:dyDescent="0.2">
      <c r="A46" s="51" t="s">
        <v>334</v>
      </c>
      <c r="C46" s="85">
        <f>+Source!C111</f>
        <v>690614.58</v>
      </c>
      <c r="D46" s="5">
        <f>+Source!D111</f>
        <v>816399.03</v>
      </c>
      <c r="F46" s="33" t="s">
        <v>18</v>
      </c>
    </row>
    <row r="47" spans="1:6" ht="18" customHeight="1" x14ac:dyDescent="0.2">
      <c r="A47" s="51" t="s">
        <v>335</v>
      </c>
      <c r="C47" s="85">
        <f>+Source!B111</f>
        <v>574406.55000000005</v>
      </c>
      <c r="D47" s="5">
        <f>+Source!C111</f>
        <v>690614.58</v>
      </c>
      <c r="F47" s="33" t="s">
        <v>18</v>
      </c>
    </row>
    <row r="48" spans="1:6" ht="18" customHeight="1" x14ac:dyDescent="0.2">
      <c r="B48" s="66" t="s">
        <v>256</v>
      </c>
      <c r="C48" s="85">
        <f>+C47-C46</f>
        <v>-116208.02999999991</v>
      </c>
      <c r="D48" s="5">
        <f>+D47-D46</f>
        <v>-125784.45000000007</v>
      </c>
    </row>
    <row r="49" spans="3:6" ht="18" customHeight="1" x14ac:dyDescent="0.2">
      <c r="C49" s="53"/>
    </row>
    <row r="50" spans="3:6" ht="18" customHeight="1" x14ac:dyDescent="0.2">
      <c r="C50" s="53">
        <f>+C44-C48</f>
        <v>-1.4551915228366852E-10</v>
      </c>
      <c r="D50" s="5">
        <f>+D44-D48</f>
        <v>1.4551915228366852E-10</v>
      </c>
      <c r="F50" s="33" t="s">
        <v>13</v>
      </c>
    </row>
  </sheetData>
  <mergeCells count="1">
    <mergeCell ref="A12:B12"/>
  </mergeCells>
  <phoneticPr fontId="7" type="noConversion"/>
  <pageMargins left="0.39370078740157483" right="0.39370078740157483" top="0.59055118110236227" bottom="0.59055118110236227" header="0.39370078740157483" footer="0.39370078740157483"/>
  <pageSetup paperSize="9" scale="96" orientation="portrait" r:id="rId1"/>
  <headerFooter>
    <oddHeader>&amp;L&amp;"Tahoma,Normale"&amp;K4B472C&amp;A&amp;R&amp;"Tahoma,Normale"&amp;8&amp;K02-071Ordine dei Dottori Commercialisti e degli Esperti Contabili di Torino - Consuntivo 2022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Source</vt:lpstr>
      <vt:lpstr>Riclassificati Patrimoniali</vt:lpstr>
      <vt:lpstr>Riclassificati Economici</vt:lpstr>
      <vt:lpstr>Rendiconto finanziario</vt:lpstr>
      <vt:lpstr>'Riclassificati Patrimoniali'!Area_stampa</vt:lpstr>
      <vt:lpstr>Source!Area_stampa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Emanuela Viotto</cp:lastModifiedBy>
  <cp:lastPrinted>2025-03-24T09:57:56Z</cp:lastPrinted>
  <dcterms:created xsi:type="dcterms:W3CDTF">2010-02-25T18:46:01Z</dcterms:created>
  <dcterms:modified xsi:type="dcterms:W3CDTF">2025-04-11T06:35:02Z</dcterms:modified>
</cp:coreProperties>
</file>