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emanuela\Desktop\"/>
    </mc:Choice>
  </mc:AlternateContent>
  <xr:revisionPtr revIDLastSave="0" documentId="8_{5BB8E3ED-C31D-480B-966B-989E0BCEEA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_Patr_2024" sheetId="4" r:id="rId1"/>
    <sheet name="Cons_Eco_2024" sheetId="3" r:id="rId2"/>
    <sheet name="Bil_prev_2024" sheetId="8" r:id="rId3"/>
    <sheet name="&lt;-- Top" sheetId="10" r:id="rId4"/>
  </sheets>
  <definedNames>
    <definedName name="_xlnm.Print_Area" localSheetId="2">Bil_prev_2024!$A$1:$G$87</definedName>
    <definedName name="_xlnm.Print_Area" localSheetId="1">Cons_Eco_2024!$A$1:$F$99</definedName>
    <definedName name="_xlnm.Print_Area" localSheetId="0">Cons_Patr_2024!$A$1:$E$116</definedName>
    <definedName name="STATO_PATRIMONALE_2017" localSheetId="0">Cons_Patr_2024!$B$15:$BZ$117</definedName>
    <definedName name="_xlnm.Print_Titles" localSheetId="2">Bil_prev_2024!$1:$14</definedName>
    <definedName name="_xlnm.Print_Titles" localSheetId="1">Cons_Eco_2024!$1:$14</definedName>
    <definedName name="_xlnm.Print_Titles" localSheetId="0">Cons_Patr_2024!$1:$14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8" l="1"/>
  <c r="E23" i="8"/>
  <c r="E21" i="8"/>
  <c r="E19" i="8"/>
  <c r="E18" i="8"/>
  <c r="E17" i="8"/>
  <c r="F83" i="8" l="1"/>
  <c r="F85" i="8" s="1"/>
  <c r="F78" i="8"/>
  <c r="F68" i="8"/>
  <c r="F57" i="8"/>
  <c r="F70" i="8" s="1"/>
  <c r="F35" i="8"/>
  <c r="F26" i="8"/>
  <c r="F30" i="8" s="1"/>
  <c r="G26" i="8"/>
  <c r="G30" i="8" s="1"/>
  <c r="G35" i="8"/>
  <c r="G57" i="8"/>
  <c r="G68" i="8"/>
  <c r="G78" i="8"/>
  <c r="G83" i="8"/>
  <c r="E48" i="3"/>
  <c r="E43" i="3"/>
  <c r="E33" i="3"/>
  <c r="E35" i="3" s="1"/>
  <c r="E23" i="3"/>
  <c r="E25" i="3" s="1"/>
  <c r="F95" i="3"/>
  <c r="F81" i="3"/>
  <c r="F83" i="3" s="1"/>
  <c r="F71" i="3"/>
  <c r="F48" i="3"/>
  <c r="F46" i="3"/>
  <c r="F43" i="3"/>
  <c r="F33" i="3"/>
  <c r="F35" i="3" s="1"/>
  <c r="F23" i="3"/>
  <c r="F25" i="3" s="1"/>
  <c r="F29" i="3" s="1"/>
  <c r="E114" i="4"/>
  <c r="E112" i="4"/>
  <c r="E111" i="4"/>
  <c r="E110" i="4"/>
  <c r="E109" i="4"/>
  <c r="E104" i="4"/>
  <c r="E106" i="4" s="1"/>
  <c r="E116" i="4" s="1"/>
  <c r="E119" i="4" s="1"/>
  <c r="E93" i="4"/>
  <c r="E88" i="4"/>
  <c r="E77" i="4"/>
  <c r="E67" i="4"/>
  <c r="E69" i="4" s="1"/>
  <c r="E59" i="4"/>
  <c r="E57" i="4"/>
  <c r="E46" i="4"/>
  <c r="E40" i="4"/>
  <c r="E25" i="4"/>
  <c r="E20" i="4"/>
  <c r="E83" i="8"/>
  <c r="E78" i="8"/>
  <c r="E68" i="8"/>
  <c r="E35" i="8"/>
  <c r="E71" i="3"/>
  <c r="D104" i="4"/>
  <c r="D93" i="4"/>
  <c r="D88" i="4"/>
  <c r="D77" i="4"/>
  <c r="D67" i="4"/>
  <c r="D57" i="4"/>
  <c r="D46" i="4"/>
  <c r="D40" i="4"/>
  <c r="G81" i="3"/>
  <c r="G83" i="3" s="1"/>
  <c r="G71" i="3"/>
  <c r="G48" i="3"/>
  <c r="G46" i="3"/>
  <c r="G43" i="3"/>
  <c r="G33" i="3"/>
  <c r="G35" i="3" s="1"/>
  <c r="G23" i="3"/>
  <c r="F112" i="4"/>
  <c r="F111" i="4"/>
  <c r="F110" i="4"/>
  <c r="F109" i="4"/>
  <c r="F104" i="4"/>
  <c r="F93" i="4"/>
  <c r="F88" i="4"/>
  <c r="F77" i="4"/>
  <c r="F67" i="4"/>
  <c r="F57" i="4"/>
  <c r="F46" i="4"/>
  <c r="F40" i="4"/>
  <c r="F25" i="4"/>
  <c r="F20" i="4"/>
  <c r="H83" i="8"/>
  <c r="H78" i="8"/>
  <c r="H68" i="8"/>
  <c r="H57" i="8"/>
  <c r="H35" i="8"/>
  <c r="H26" i="8"/>
  <c r="H30" i="8" s="1"/>
  <c r="H38" i="8" s="1"/>
  <c r="H81" i="3"/>
  <c r="H83" i="3" s="1"/>
  <c r="H67" i="3"/>
  <c r="H71" i="3" s="1"/>
  <c r="H52" i="3"/>
  <c r="H48" i="3"/>
  <c r="H46" i="3"/>
  <c r="H45" i="3"/>
  <c r="H43" i="3"/>
  <c r="H32" i="3"/>
  <c r="H35" i="3" s="1"/>
  <c r="H27" i="3"/>
  <c r="H23" i="3"/>
  <c r="G112" i="4"/>
  <c r="G111" i="4"/>
  <c r="G110" i="4"/>
  <c r="G109" i="4"/>
  <c r="G104" i="4"/>
  <c r="G93" i="4"/>
  <c r="G88" i="4"/>
  <c r="G77" i="4"/>
  <c r="G67" i="4"/>
  <c r="G57" i="4"/>
  <c r="G46" i="4"/>
  <c r="G40" i="4"/>
  <c r="G25" i="4"/>
  <c r="G20" i="4"/>
  <c r="E85" i="8" l="1"/>
  <c r="G85" i="8"/>
  <c r="G70" i="8"/>
  <c r="G38" i="8"/>
  <c r="F38" i="8"/>
  <c r="F72" i="8" s="1"/>
  <c r="F87" i="8" s="1"/>
  <c r="F59" i="3"/>
  <c r="F101" i="3" s="1"/>
  <c r="F38" i="3"/>
  <c r="F103" i="3" s="1"/>
  <c r="F104" i="3" s="1"/>
  <c r="F97" i="3"/>
  <c r="D106" i="4"/>
  <c r="G59" i="3"/>
  <c r="G73" i="3" s="1"/>
  <c r="G107" i="3" s="1"/>
  <c r="G108" i="3" s="1"/>
  <c r="H70" i="8"/>
  <c r="H72" i="8" s="1"/>
  <c r="E70" i="8"/>
  <c r="E59" i="3"/>
  <c r="E73" i="3" s="1"/>
  <c r="F59" i="4"/>
  <c r="F69" i="4" s="1"/>
  <c r="H85" i="8"/>
  <c r="H59" i="3"/>
  <c r="H73" i="3" s="1"/>
  <c r="H107" i="3" s="1"/>
  <c r="H108" i="3" s="1"/>
  <c r="G59" i="4"/>
  <c r="G69" i="4" s="1"/>
  <c r="F114" i="4"/>
  <c r="F106" i="4"/>
  <c r="F116" i="4" s="1"/>
  <c r="G106" i="4"/>
  <c r="G114" i="4"/>
  <c r="E26" i="8"/>
  <c r="E30" i="8" s="1"/>
  <c r="E38" i="8" s="1"/>
  <c r="J18" i="8"/>
  <c r="G72" i="8" l="1"/>
  <c r="G87" i="8" s="1"/>
  <c r="E72" i="8"/>
  <c r="E87" i="8" s="1"/>
  <c r="F73" i="3"/>
  <c r="F75" i="3" s="1"/>
  <c r="F99" i="3" s="1"/>
  <c r="G101" i="3"/>
  <c r="F119" i="4"/>
  <c r="H87" i="8"/>
  <c r="H101" i="3"/>
  <c r="G116" i="4"/>
  <c r="G119" i="4" s="1"/>
  <c r="F107" i="3" l="1"/>
  <c r="F108" i="3" s="1"/>
  <c r="H101" i="4"/>
  <c r="D110" i="4"/>
  <c r="D111" i="4"/>
  <c r="D112" i="4"/>
  <c r="D109" i="4"/>
  <c r="I83" i="8"/>
  <c r="I78" i="8"/>
  <c r="I68" i="8"/>
  <c r="I57" i="8"/>
  <c r="I35" i="8"/>
  <c r="I26" i="8"/>
  <c r="I30" i="8" s="1"/>
  <c r="H114" i="4"/>
  <c r="H93" i="4"/>
  <c r="H88" i="4"/>
  <c r="H77" i="4"/>
  <c r="H67" i="4"/>
  <c r="H57" i="4"/>
  <c r="H46" i="4"/>
  <c r="H28" i="4"/>
  <c r="H40" i="4" s="1"/>
  <c r="H25" i="4"/>
  <c r="H20" i="4"/>
  <c r="J78" i="8"/>
  <c r="E81" i="3"/>
  <c r="E83" i="3" s="1"/>
  <c r="D25" i="4"/>
  <c r="D20" i="4"/>
  <c r="I104" i="4"/>
  <c r="L83" i="8"/>
  <c r="K83" i="8"/>
  <c r="J83" i="8"/>
  <c r="L78" i="8"/>
  <c r="K78" i="8"/>
  <c r="L68" i="8"/>
  <c r="K68" i="8"/>
  <c r="J68" i="8"/>
  <c r="L57" i="8"/>
  <c r="J57" i="8"/>
  <c r="K43" i="8"/>
  <c r="K57" i="8" s="1"/>
  <c r="L35" i="8"/>
  <c r="K35" i="8"/>
  <c r="J35" i="8"/>
  <c r="J28" i="8"/>
  <c r="L26" i="8"/>
  <c r="L30" i="8" s="1"/>
  <c r="K26" i="8"/>
  <c r="K30" i="8" s="1"/>
  <c r="J26" i="8"/>
  <c r="I114" i="4"/>
  <c r="I93" i="4"/>
  <c r="I88" i="4"/>
  <c r="I77" i="4"/>
  <c r="I67" i="4"/>
  <c r="I57" i="4"/>
  <c r="I46" i="4"/>
  <c r="I40" i="4"/>
  <c r="I25" i="4"/>
  <c r="I20" i="4"/>
  <c r="K88" i="4"/>
  <c r="J88" i="4"/>
  <c r="K114" i="4"/>
  <c r="K99" i="4"/>
  <c r="K104" i="4" s="1"/>
  <c r="K93" i="4"/>
  <c r="K77" i="4"/>
  <c r="K67" i="4"/>
  <c r="K57" i="4"/>
  <c r="K46" i="4"/>
  <c r="K40" i="4"/>
  <c r="K25" i="4"/>
  <c r="K20" i="4"/>
  <c r="M20" i="4"/>
  <c r="J20" i="4"/>
  <c r="J114" i="4"/>
  <c r="J104" i="4"/>
  <c r="J93" i="4"/>
  <c r="J77" i="4"/>
  <c r="J67" i="4"/>
  <c r="J57" i="4"/>
  <c r="J46" i="4"/>
  <c r="J40" i="4"/>
  <c r="M57" i="4"/>
  <c r="M46" i="4"/>
  <c r="M40" i="4"/>
  <c r="M25" i="4"/>
  <c r="J25" i="4"/>
  <c r="I70" i="8" l="1"/>
  <c r="D114" i="4"/>
  <c r="D116" i="4" s="1"/>
  <c r="D59" i="4"/>
  <c r="D69" i="4" s="1"/>
  <c r="H25" i="3"/>
  <c r="H29" i="3" s="1"/>
  <c r="H38" i="3" s="1"/>
  <c r="G25" i="3"/>
  <c r="G29" i="3" s="1"/>
  <c r="G38" i="3" s="1"/>
  <c r="I85" i="8"/>
  <c r="J85" i="8"/>
  <c r="L38" i="8"/>
  <c r="J70" i="8"/>
  <c r="K70" i="8"/>
  <c r="I38" i="8"/>
  <c r="H104" i="4"/>
  <c r="H106" i="4" s="1"/>
  <c r="H116" i="4" s="1"/>
  <c r="K59" i="4"/>
  <c r="K69" i="4" s="1"/>
  <c r="I59" i="4"/>
  <c r="I69" i="4" s="1"/>
  <c r="M59" i="4"/>
  <c r="M67" i="4" s="1"/>
  <c r="M69" i="4" s="1"/>
  <c r="M77" i="4" s="1"/>
  <c r="M88" i="4" s="1"/>
  <c r="M93" i="4" s="1"/>
  <c r="M104" i="4" s="1"/>
  <c r="M106" i="4" s="1"/>
  <c r="M114" i="4" s="1"/>
  <c r="M116" i="4" s="1"/>
  <c r="H59" i="4"/>
  <c r="H69" i="4" s="1"/>
  <c r="L85" i="8"/>
  <c r="J59" i="4"/>
  <c r="J69" i="4" s="1"/>
  <c r="J106" i="4"/>
  <c r="I106" i="4"/>
  <c r="I116" i="4" s="1"/>
  <c r="I119" i="4" s="1"/>
  <c r="K106" i="4"/>
  <c r="K116" i="4" s="1"/>
  <c r="K38" i="8"/>
  <c r="L70" i="8"/>
  <c r="K85" i="8"/>
  <c r="E101" i="3"/>
  <c r="J30" i="8"/>
  <c r="J38" i="8" s="1"/>
  <c r="E29" i="3"/>
  <c r="E38" i="3" s="1"/>
  <c r="E75" i="3" s="1"/>
  <c r="K72" i="8" l="1"/>
  <c r="I72" i="8"/>
  <c r="I87" i="8"/>
  <c r="J72" i="8"/>
  <c r="J87" i="8" s="1"/>
  <c r="D119" i="4"/>
  <c r="H103" i="3"/>
  <c r="H104" i="3" s="1"/>
  <c r="H75" i="3"/>
  <c r="E95" i="3"/>
  <c r="E97" i="3" s="1"/>
  <c r="E99" i="3" s="1"/>
  <c r="H95" i="3"/>
  <c r="H97" i="3" s="1"/>
  <c r="G95" i="3"/>
  <c r="G97" i="3" s="1"/>
  <c r="L72" i="8"/>
  <c r="L87" i="8" s="1"/>
  <c r="G103" i="3"/>
  <c r="G104" i="3" s="1"/>
  <c r="G75" i="3"/>
  <c r="H119" i="4"/>
  <c r="E107" i="3"/>
  <c r="E108" i="3" s="1"/>
  <c r="S106" i="4"/>
  <c r="K87" i="8"/>
  <c r="R116" i="4"/>
  <c r="Q106" i="4"/>
  <c r="R106" i="4"/>
  <c r="J116" i="4"/>
  <c r="G99" i="3" l="1"/>
  <c r="H99" i="3"/>
  <c r="Q116" i="4"/>
  <c r="S116" i="4"/>
  <c r="J119" i="4"/>
  <c r="E103" i="3"/>
  <c r="E104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name="STATO PATRIMONALE 2017" type="6" refreshedVersion="4" background="1" saveData="1">
    <textPr sourceFile="C:\Users\anton_000\Documents\ASVISIO\Bilancio Consuntivo ODC Torino 2017\STATO PATRIMONALE 2017.doc" decimal="," thousands="." consecutive="1" qualifier="none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<sst xmlns="http://schemas.openxmlformats.org/spreadsheetml/2006/main" count="227" uniqueCount="164">
  <si>
    <t>QUOTE ALBO INTERE</t>
  </si>
  <si>
    <t>QUOTE ELENCO SPECIALE</t>
  </si>
  <si>
    <t>QUOTE ALBO RIDOTTE</t>
  </si>
  <si>
    <t>QUOTE ALBO ANZIANI</t>
  </si>
  <si>
    <t>QUOTE STP</t>
  </si>
  <si>
    <t>PREVENTIVO ANNO 2017</t>
  </si>
  <si>
    <t>PROVENTI FINANZIARI E VARI</t>
  </si>
  <si>
    <t>PROVENTI</t>
  </si>
  <si>
    <t>PROVENTI DA ATTIVITA' ISTITUZIONALE</t>
  </si>
  <si>
    <t>ONERI</t>
  </si>
  <si>
    <t>SPESE DI FUNZIONAMENTO</t>
  </si>
  <si>
    <t>SPESE ISTITUZIONALI</t>
  </si>
  <si>
    <t>QUOTE ISCRIZIONE REGISTRO PRATICANTI</t>
  </si>
  <si>
    <t>(CONTRIBUTI CNDCEC)</t>
  </si>
  <si>
    <t xml:space="preserve">SITO INTERNET </t>
  </si>
  <si>
    <t>NOLEGGIO, ASSISTENZA PRODOTTI CONSUMO FOTOCOPIATRICE</t>
  </si>
  <si>
    <t>CANCELLERIA</t>
  </si>
  <si>
    <t>SPESE POSTALI e TELEFONICHE</t>
  </si>
  <si>
    <t xml:space="preserve">SPESE PUBBLICAZIONI SU ORGANI DI STAMPA </t>
  </si>
  <si>
    <t>AFFITTO, SPESE CONDOMINIALI, LUCE</t>
  </si>
  <si>
    <t>RISCALDAMENTO, MANUTENZIONE LOCALI, IMPIANTI SICUREZZA</t>
  </si>
  <si>
    <t>PUBBLICAZIONI</t>
  </si>
  <si>
    <t>FORMAZIONE</t>
  </si>
  <si>
    <t>CONSULENZE ESTERNE</t>
  </si>
  <si>
    <t>ABBONAMENTI</t>
  </si>
  <si>
    <t>NECROLOGI</t>
  </si>
  <si>
    <t>SPESE VARIE e RIMBORSI</t>
  </si>
  <si>
    <t>RACCOLTA RIFIUTI</t>
  </si>
  <si>
    <t>INTERESSI PASSIVI, SPESE BANCARIE e su TITOLI</t>
  </si>
  <si>
    <t>SIGILLO PERSONALE, TESSERINO, ATTESTATO</t>
  </si>
  <si>
    <t>SPESE RAPPRESENTANZA E MANIFESTAZIONI DI CATEGORIA</t>
  </si>
  <si>
    <t>QUOTE AMMISSIONE ISTRUZIONI PRATICHE CERTIFICATI</t>
  </si>
  <si>
    <t>DOTAZIONI STRUMENTALI, SOFTWARE, ASSISTENZA COMPUTER E TELEFONIA</t>
  </si>
  <si>
    <t>DIRITTI LIQUIDAZIONE PARCELLE E PARERE CONGRUITA’ E QUOTE ISTRUZIONI LIQUIDAZIONE PARCELLE E PARERI CONGRUITA’</t>
  </si>
  <si>
    <t>RISULTATO OPERATIVO</t>
  </si>
  <si>
    <t>ACCANTONAMENTI</t>
  </si>
  <si>
    <t>COSTO PERSONALE</t>
  </si>
  <si>
    <t>PRESTAZIONI ESTERNE</t>
  </si>
  <si>
    <t>ASSICURAZIONI</t>
  </si>
  <si>
    <t>TOTALE SPESE DI FUNZIONAMENTO</t>
  </si>
  <si>
    <t>TOTALE SPESE ISTITUZIONALI</t>
  </si>
  <si>
    <t>TOTALE GESTIONE FINANZIARIA E ACCANTONAMENTI</t>
  </si>
  <si>
    <t>TOTALE PROVENTI NETTI DA ATTIVITA' ISTITUZIONALE</t>
  </si>
  <si>
    <t>TOTALE ACCANTONAMENTI</t>
  </si>
  <si>
    <t>TOTALE SPESE GESTIONE FINANZIARIA</t>
  </si>
  <si>
    <t>TOTALE SPESE</t>
  </si>
  <si>
    <t>TOTALE PROVENTI DA ATTIVITA' ISTITUZIONALE</t>
  </si>
  <si>
    <t>TOTALE PROVENTI NETTI</t>
  </si>
  <si>
    <t xml:space="preserve">ALTRI PROVENTI </t>
  </si>
  <si>
    <t>TOTALE ALTRI PROVENTI</t>
  </si>
  <si>
    <t>ATTIVO</t>
  </si>
  <si>
    <t>CASSA</t>
  </si>
  <si>
    <t xml:space="preserve">    </t>
  </si>
  <si>
    <t>UNICREDIT BANCA</t>
  </si>
  <si>
    <t>INTESA SANPAOLO</t>
  </si>
  <si>
    <t>CREDITO COOPERATIVO BENE VAGIENNA</t>
  </si>
  <si>
    <t>C/C POSTALE</t>
  </si>
  <si>
    <t>C/POSTALE DI CREDITO</t>
  </si>
  <si>
    <t>PORTAFOGLIO ERSEL SIM</t>
  </si>
  <si>
    <t>PORTAFOGLIO UNICREDIT BANCA</t>
  </si>
  <si>
    <t>MOBILI ED ARREDI</t>
  </si>
  <si>
    <t>ACCONTI E ANTICIPAZIONI C/FORNITORI</t>
  </si>
  <si>
    <t>TORO ASSICURAZIONI CREDITO POLIZZA TFR</t>
  </si>
  <si>
    <t>ALTRI CREDITI</t>
  </si>
  <si>
    <t>TOTALE ATTIVO</t>
  </si>
  <si>
    <t>CONTI D’ORDINE</t>
  </si>
  <si>
    <t>BANCA DEPOSITARIA TITOLI DI PROPRIETA’</t>
  </si>
  <si>
    <t>SIM DEPOSITARIA TITOLI DI PROPRIETA’</t>
  </si>
  <si>
    <t>FONDO FONDAZIONE PIERO PICCATTI</t>
  </si>
  <si>
    <t>TOTALE GENERALE</t>
  </si>
  <si>
    <t>PASSIVO</t>
  </si>
  <si>
    <t>ERARIO ED ENTI PREVIDENZIALI</t>
  </si>
  <si>
    <t>FATTURE DA RICEVERE</t>
  </si>
  <si>
    <t>FONDO TRATTAMENTO FINE RAPPORTO</t>
  </si>
  <si>
    <t>FONDO RISCHI INCASSO QUOTE</t>
  </si>
  <si>
    <t>FONDO RISCHI GESTIONALI E DI CONTENZIOSO</t>
  </si>
  <si>
    <t>FONDO RIORDINO ED ARREDO SEDE</t>
  </si>
  <si>
    <t>FONDO DOTAZIONI STRUMENTALI ORDINE</t>
  </si>
  <si>
    <t>FONDO FORMAZIONE PROFESSIONALE CONTINUA</t>
  </si>
  <si>
    <t>PATRIMONIO NETTO</t>
  </si>
  <si>
    <t>TOTALE PASSIVO</t>
  </si>
  <si>
    <t>TOTALE IMMOBILIZZAZIONI MATERIALI</t>
  </si>
  <si>
    <t>IMMOBILIZZAZIONI MATERIALI</t>
  </si>
  <si>
    <t>CONSUNTIVO ANNO 2017</t>
  </si>
  <si>
    <t>CREDITI</t>
  </si>
  <si>
    <t>TOTALE CREDITI</t>
  </si>
  <si>
    <t>DISPONIBILITA' LIQUIDE</t>
  </si>
  <si>
    <t>TOTALE DISPONIBILITA' LIQUIDE</t>
  </si>
  <si>
    <t>TOTALE CONTI D'ORDINE</t>
  </si>
  <si>
    <t>TOTALE ATTIVITA' FINANZ. NON IMMOBILIZZATE</t>
  </si>
  <si>
    <t>ATTIVITA' FINANZIARIE NON IMMOBILIZZATE</t>
  </si>
  <si>
    <t>TOTALE PATRIMONIO NETTO</t>
  </si>
  <si>
    <t>FONDI PER RISCHI ED ONERI</t>
  </si>
  <si>
    <t>TOTALE FONDI PER RISCHI ED ONERI</t>
  </si>
  <si>
    <t>TRATTAMENTO DI FINE RAPPORTO LAVORO SUBORDINATO</t>
  </si>
  <si>
    <t>TOTALE TRATTAMENTO DI FINE RAPPORTO LAVORO SUBORDINATO</t>
  </si>
  <si>
    <t>DEBITI</t>
  </si>
  <si>
    <t>chk</t>
  </si>
  <si>
    <t>TOTALE DEBITI</t>
  </si>
  <si>
    <t>CERTIFICATI</t>
  </si>
  <si>
    <t>as bdv</t>
  </si>
  <si>
    <t>riclass</t>
  </si>
  <si>
    <t>delta</t>
  </si>
  <si>
    <t>Costi</t>
  </si>
  <si>
    <t>Ricavi</t>
  </si>
  <si>
    <t>IMMOBILIZZAZIONI FINANZIARIE</t>
  </si>
  <si>
    <t>FONDAZIONE PIERO PICCATTI</t>
  </si>
  <si>
    <t>TOTALE IMMOBILIZZAZIONI FINANZIARIE</t>
  </si>
  <si>
    <t xml:space="preserve">QUOTE ALBO INTERE </t>
  </si>
  <si>
    <t xml:space="preserve">QUOTE ELENCO </t>
  </si>
  <si>
    <t xml:space="preserve">QUOTE ALBO RIDOTTE </t>
  </si>
  <si>
    <t xml:space="preserve">QUOTE ALBO ANZIANI </t>
  </si>
  <si>
    <t xml:space="preserve">QUOTE STP </t>
  </si>
  <si>
    <t>RISULTATO DI AMMINISTRAZIONE</t>
  </si>
  <si>
    <t>ARREDO LOCALI</t>
  </si>
  <si>
    <t>ACCANTONAMENTO FONDO RISCHI INCASSO QUOTE</t>
  </si>
  <si>
    <t>ACCANTONAMENTO FONDO SUPPORTO ISCRITTI IN DIFFICOLTA’</t>
  </si>
  <si>
    <t>ACCANTONAMENTO FONDO SVILUPPO PROFESSIONE</t>
  </si>
  <si>
    <t>PREVENTIVO ANNO 2018</t>
  </si>
  <si>
    <t>CONSUNTIVO ANNO 2018</t>
  </si>
  <si>
    <t>FONDO SUPPORTO ISCRITTI IN DIFFICOLTA’</t>
  </si>
  <si>
    <t>FONDO SVILUPPO PROFESSIONE</t>
  </si>
  <si>
    <t>ERARIO C/SPLIT PAYMENT</t>
  </si>
  <si>
    <t>CONSIGLIO NAZIONALE E DEBITI DIVERSI</t>
  </si>
  <si>
    <t>CONSUNTIVO ANNO 2019</t>
  </si>
  <si>
    <t>PREVENTIVO ANNO 2019</t>
  </si>
  <si>
    <t>FONDO SUPPORTO ISCRITTI IN DIFFICOLTA'</t>
  </si>
  <si>
    <t>RISULTATO DELL'ENTE</t>
  </si>
  <si>
    <t>FORNITORI</t>
  </si>
  <si>
    <t>CONSUNTIVO ANNO 2020</t>
  </si>
  <si>
    <t>BANCA C\ RACCOLTA FONDI AMEDEO DI SAVOIA</t>
  </si>
  <si>
    <t>PREVENTIVO ANNO 2020</t>
  </si>
  <si>
    <t>SPESE SEGGI ELETTORALE</t>
  </si>
  <si>
    <t>PROVENTI STRAORDINARI</t>
  </si>
  <si>
    <t>GESTIONE FINANZIARIA</t>
  </si>
  <si>
    <t>CONSUNTIVO ANNO 2021</t>
  </si>
  <si>
    <t>PREVENTIVO ANNO 2021</t>
  </si>
  <si>
    <t xml:space="preserve">QUOTE ALBO NON ESERCENTI </t>
  </si>
  <si>
    <t>ERSEL C\ GEST. SEPARATA</t>
  </si>
  <si>
    <t>ACCONTI SU QUOTE ALBO</t>
  </si>
  <si>
    <t>QUOTE ALBO NON ESERCENTI LA PROFESSIONE</t>
  </si>
  <si>
    <t xml:space="preserve">PREVENZIONE COVID–19 </t>
  </si>
  <si>
    <t>acc.to TFR</t>
  </si>
  <si>
    <t>QUOTE AMMISSIONE ED ISTRUZIONI PRATICHE CERTIFICATI</t>
  </si>
  <si>
    <t>UTILIZZO FONDO DOTAZIONI STRUMENTALI ORDINE</t>
  </si>
  <si>
    <t>UTILIZZO FONDO RISCHI GESTIONALI E CONTENZIOSO</t>
  </si>
  <si>
    <t xml:space="preserve">ACCANTONAMENTI </t>
  </si>
  <si>
    <t xml:space="preserve">TOTALE ACCANTONAMENTI </t>
  </si>
  <si>
    <t>di cui: PER NON ESERCENTI LA PROFESSIONE</t>
  </si>
  <si>
    <t>n.d.</t>
  </si>
  <si>
    <t>CONSUNTIVO ANNO 2022</t>
  </si>
  <si>
    <t>UTILIZZO FONDO FORMAZIONE E SVILUPPO PROFESSIONALE</t>
  </si>
  <si>
    <r>
      <t>COSTO PERSONALE</t>
    </r>
    <r>
      <rPr>
        <i/>
        <sz val="12"/>
        <color theme="0" tint="-0.14999847407452621"/>
        <rFont val="Trebuchet MS"/>
        <family val="2"/>
      </rPr>
      <t xml:space="preserve"> (compreso T.F.R.)</t>
    </r>
  </si>
  <si>
    <t>PREVENTIVO ANNO 2022</t>
  </si>
  <si>
    <t>CONSUNTIVO ANNO 2023</t>
  </si>
  <si>
    <t>PREVENTIVO ANNO 2023</t>
  </si>
  <si>
    <t>QUOTE ALBO INTERE A. P.</t>
  </si>
  <si>
    <t>ACCANTONAMENTO FONDO DOTAZIONI STRUMENTALI</t>
  </si>
  <si>
    <t>CONSUNTIVO ANNO 2024</t>
  </si>
  <si>
    <t>STATO PATRIMONIALE al 31 dicembre 2024</t>
  </si>
  <si>
    <t>CONTO ECONOMICO al 31 dicembre 2024</t>
  </si>
  <si>
    <t>UTILIZZO FONDO RIORDINO SEDE</t>
  </si>
  <si>
    <t>PREVENTIVO ANNO 2024</t>
  </si>
  <si>
    <t>Bilancio di previsione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</si>
</sst>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sz val="12"/>
      <color theme="0"/>
      <name val="Trebuchet MS"/>
      <family val="2"/>
    </font>
    <font>
      <b/>
      <sz val="12"/>
      <color rgb="FF0070C0"/>
      <name val="Trebuchet MS"/>
      <family val="2"/>
    </font>
    <font>
      <b/>
      <sz val="12"/>
      <color theme="1"/>
      <name val="Trebuchet MS"/>
      <family val="2"/>
    </font>
    <font>
      <i/>
      <sz val="16"/>
      <color rgb="FF0070C0"/>
      <name val="Trebuchet MS"/>
      <family val="2"/>
    </font>
    <font>
      <sz val="12"/>
      <color rgb="FF0070C0"/>
      <name val="Trebuchet MS"/>
      <family val="2"/>
    </font>
    <font>
      <b/>
      <sz val="14"/>
      <color rgb="FF0070C0"/>
      <name val="Trebuchet MS"/>
      <family val="2"/>
    </font>
    <font>
      <b/>
      <sz val="14"/>
      <color theme="1"/>
      <name val="Trebuchet MS"/>
      <family val="2"/>
    </font>
    <font>
      <i/>
      <sz val="12"/>
      <color theme="1"/>
      <name val="Trebuchet MS"/>
      <family val="2"/>
    </font>
    <font>
      <b/>
      <i/>
      <sz val="12"/>
      <color rgb="FF0070C0"/>
      <name val="Trebuchet MS"/>
      <family val="2"/>
    </font>
    <font>
      <b/>
      <i/>
      <sz val="12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0"/>
      <name val="Trebuchet MS"/>
      <family val="2"/>
    </font>
    <font>
      <b/>
      <sz val="12"/>
      <color theme="0"/>
      <name val="Trebuchet MS"/>
      <family val="2"/>
    </font>
    <font>
      <b/>
      <i/>
      <u/>
      <sz val="12"/>
      <color theme="0"/>
      <name val="Trebuchet MS"/>
      <family val="2"/>
    </font>
    <font>
      <sz val="10"/>
      <color theme="1"/>
      <name val="Trebuchet MS"/>
      <family val="2"/>
    </font>
    <font>
      <b/>
      <i/>
      <sz val="12"/>
      <color rgb="FF0070C0"/>
      <name val="Trebuchet MS"/>
    </font>
    <font>
      <b/>
      <i/>
      <sz val="12"/>
      <color theme="1"/>
      <name val="Trebuchet MS"/>
    </font>
    <font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i/>
      <sz val="12"/>
      <color rgb="FFFF0000"/>
      <name val="Trebuchet MS"/>
      <family val="2"/>
    </font>
    <font>
      <b/>
      <sz val="14"/>
      <color rgb="FFFF0000"/>
      <name val="Trebuchet MS"/>
      <family val="2"/>
    </font>
    <font>
      <i/>
      <sz val="12"/>
      <color theme="0" tint="-0.499984740745262"/>
      <name val="Trebuchet MS"/>
      <family val="2"/>
    </font>
    <font>
      <b/>
      <i/>
      <sz val="12"/>
      <color theme="0" tint="-0.499984740745262"/>
      <name val="Trebuchet MS"/>
      <family val="2"/>
    </font>
    <font>
      <b/>
      <i/>
      <sz val="14"/>
      <color theme="0" tint="-0.499984740745262"/>
      <name val="Trebuchet MS"/>
      <family val="2"/>
    </font>
    <font>
      <b/>
      <i/>
      <sz val="16"/>
      <color rgb="FF0070C0"/>
      <name val="Trebuchet MS"/>
      <family val="2"/>
    </font>
    <font>
      <i/>
      <sz val="12"/>
      <color rgb="FFFF0000"/>
      <name val="Trebuchet MS"/>
      <family val="2"/>
    </font>
    <font>
      <sz val="12"/>
      <color theme="0" tint="-0.499984740745262"/>
      <name val="Trebuchet MS"/>
      <family val="2"/>
    </font>
    <font>
      <b/>
      <sz val="10"/>
      <color theme="7" tint="0.79998168889431442"/>
      <name val="Trebuchet MS"/>
      <family val="2"/>
    </font>
    <font>
      <sz val="12"/>
      <color theme="1" tint="4.9989318521683403E-2"/>
      <name val="Trebuchet MS"/>
      <family val="2"/>
    </font>
    <font>
      <i/>
      <sz val="12"/>
      <color theme="0" tint="-0.14999847407452621"/>
      <name val="Trebuchet MS"/>
      <family val="2"/>
    </font>
    <font>
      <i/>
      <sz val="12"/>
      <color rgb="FF0070C0"/>
      <name val="Trebuchet MS"/>
      <family val="2"/>
    </font>
    <font>
      <sz val="12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3" borderId="0" xfId="0" applyFont="1" applyFill="1"/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3" borderId="0" xfId="0" applyFont="1" applyFill="1"/>
    <xf numFmtId="0" fontId="9" fillId="0" borderId="0" xfId="0" applyFont="1"/>
    <xf numFmtId="0" fontId="10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vertical="top"/>
    </xf>
    <xf numFmtId="164" fontId="8" fillId="3" borderId="0" xfId="0" applyNumberFormat="1" applyFont="1" applyFill="1"/>
    <xf numFmtId="0" fontId="8" fillId="3" borderId="0" xfId="0" applyFont="1" applyFill="1" applyAlignment="1">
      <alignment horizontal="right"/>
    </xf>
    <xf numFmtId="0" fontId="11" fillId="3" borderId="0" xfId="0" applyFont="1" applyFill="1"/>
    <xf numFmtId="0" fontId="12" fillId="0" borderId="0" xfId="0" applyFont="1"/>
    <xf numFmtId="164" fontId="11" fillId="3" borderId="0" xfId="0" applyNumberFormat="1" applyFont="1" applyFill="1"/>
    <xf numFmtId="0" fontId="11" fillId="3" borderId="0" xfId="0" applyFont="1" applyFill="1" applyAlignment="1">
      <alignment horizontal="right"/>
    </xf>
    <xf numFmtId="0" fontId="13" fillId="0" borderId="0" xfId="0" applyFont="1"/>
    <xf numFmtId="0" fontId="14" fillId="2" borderId="0" xfId="0" applyFont="1" applyFill="1"/>
    <xf numFmtId="164" fontId="14" fillId="2" borderId="0" xfId="0" applyNumberFormat="1" applyFont="1" applyFill="1"/>
    <xf numFmtId="164" fontId="10" fillId="0" borderId="0" xfId="0" applyNumberFormat="1" applyFont="1"/>
    <xf numFmtId="0" fontId="14" fillId="2" borderId="0" xfId="0" applyFont="1" applyFill="1" applyAlignment="1">
      <alignment horizontal="right"/>
    </xf>
    <xf numFmtId="0" fontId="8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1" xfId="0" applyFont="1" applyBorder="1" applyAlignment="1">
      <alignment horizontal="centerContinuous" vertical="center"/>
    </xf>
    <xf numFmtId="0" fontId="15" fillId="2" borderId="0" xfId="0" applyFont="1" applyFill="1"/>
    <xf numFmtId="0" fontId="2" fillId="0" borderId="0" xfId="0" applyFont="1" applyAlignment="1">
      <alignment horizontal="left" vertical="top" wrapText="1"/>
    </xf>
    <xf numFmtId="0" fontId="7" fillId="4" borderId="0" xfId="0" applyFont="1" applyFill="1" applyAlignment="1">
      <alignment horizontal="center" vertical="center" wrapText="1"/>
    </xf>
    <xf numFmtId="164" fontId="3" fillId="2" borderId="0" xfId="0" applyNumberFormat="1" applyFont="1" applyFill="1"/>
    <xf numFmtId="164" fontId="7" fillId="0" borderId="1" xfId="0" applyNumberFormat="1" applyFont="1" applyBorder="1" applyAlignment="1">
      <alignment horizontal="centerContinuous" vertical="center"/>
    </xf>
    <xf numFmtId="164" fontId="7" fillId="0" borderId="0" xfId="0" applyNumberFormat="1" applyFont="1" applyAlignment="1">
      <alignment horizontal="centerContinuous" vertical="center"/>
    </xf>
    <xf numFmtId="164" fontId="7" fillId="0" borderId="0" xfId="0" applyNumberFormat="1" applyFont="1" applyAlignment="1">
      <alignment horizontal="center" vertical="center" wrapText="1"/>
    </xf>
    <xf numFmtId="164" fontId="4" fillId="3" borderId="0" xfId="0" applyNumberFormat="1" applyFont="1" applyFill="1"/>
    <xf numFmtId="164" fontId="12" fillId="0" borderId="0" xfId="0" applyNumberFormat="1" applyFont="1"/>
    <xf numFmtId="164" fontId="9" fillId="0" borderId="0" xfId="0" applyNumberFormat="1" applyFont="1"/>
    <xf numFmtId="164" fontId="15" fillId="2" borderId="0" xfId="0" applyNumberFormat="1" applyFont="1" applyFill="1"/>
    <xf numFmtId="0" fontId="16" fillId="2" borderId="0" xfId="0" applyFont="1" applyFill="1"/>
    <xf numFmtId="164" fontId="16" fillId="2" borderId="0" xfId="0" applyNumberFormat="1" applyFont="1" applyFill="1"/>
    <xf numFmtId="0" fontId="17" fillId="0" borderId="0" xfId="0" applyFont="1"/>
    <xf numFmtId="164" fontId="18" fillId="3" borderId="0" xfId="0" applyNumberFormat="1" applyFont="1" applyFill="1"/>
    <xf numFmtId="0" fontId="18" fillId="3" borderId="0" xfId="0" applyFont="1" applyFill="1"/>
    <xf numFmtId="0" fontId="19" fillId="0" borderId="0" xfId="0" applyFont="1"/>
    <xf numFmtId="164" fontId="20" fillId="0" borderId="0" xfId="0" applyNumberFormat="1" applyFont="1"/>
    <xf numFmtId="164" fontId="20" fillId="2" borderId="0" xfId="0" applyNumberFormat="1" applyFont="1" applyFill="1"/>
    <xf numFmtId="164" fontId="21" fillId="3" borderId="0" xfId="0" applyNumberFormat="1" applyFont="1" applyFill="1"/>
    <xf numFmtId="164" fontId="22" fillId="3" borderId="0" xfId="0" applyNumberFormat="1" applyFont="1" applyFill="1"/>
    <xf numFmtId="164" fontId="22" fillId="0" borderId="0" xfId="0" applyNumberFormat="1" applyFont="1"/>
    <xf numFmtId="0" fontId="22" fillId="0" borderId="0" xfId="0" applyFont="1"/>
    <xf numFmtId="0" fontId="20" fillId="0" borderId="0" xfId="0" applyFont="1"/>
    <xf numFmtId="164" fontId="23" fillId="0" borderId="0" xfId="0" applyNumberFormat="1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43" fontId="24" fillId="0" borderId="0" xfId="1" applyFont="1"/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/>
    <xf numFmtId="164" fontId="20" fillId="0" borderId="0" xfId="0" applyNumberFormat="1" applyFont="1" applyAlignment="1">
      <alignment vertical="top"/>
    </xf>
    <xf numFmtId="0" fontId="20" fillId="0" borderId="1" xfId="0" applyFont="1" applyBorder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20" fillId="2" borderId="0" xfId="0" applyFont="1" applyFill="1"/>
    <xf numFmtId="0" fontId="21" fillId="3" borderId="0" xfId="0" applyFont="1" applyFill="1"/>
    <xf numFmtId="164" fontId="28" fillId="0" borderId="0" xfId="0" applyNumberFormat="1" applyFont="1"/>
    <xf numFmtId="4" fontId="20" fillId="0" borderId="0" xfId="0" applyNumberFormat="1" applyFont="1"/>
    <xf numFmtId="0" fontId="24" fillId="0" borderId="0" xfId="1" applyNumberFormat="1" applyFont="1"/>
    <xf numFmtId="0" fontId="5" fillId="3" borderId="0" xfId="0" applyFont="1" applyFill="1"/>
    <xf numFmtId="43" fontId="29" fillId="0" borderId="0" xfId="1" applyFont="1"/>
    <xf numFmtId="165" fontId="14" fillId="2" borderId="0" xfId="1" applyNumberFormat="1" applyFont="1" applyFill="1"/>
    <xf numFmtId="164" fontId="29" fillId="0" borderId="0" xfId="0" applyNumberFormat="1" applyFont="1" applyAlignment="1">
      <alignment vertical="top"/>
    </xf>
    <xf numFmtId="164" fontId="2" fillId="5" borderId="0" xfId="0" applyNumberFormat="1" applyFont="1" applyFill="1" applyAlignment="1">
      <alignment vertical="top"/>
    </xf>
    <xf numFmtId="0" fontId="10" fillId="0" borderId="0" xfId="0" applyFont="1" applyAlignment="1">
      <alignment horizontal="left" indent="1"/>
    </xf>
    <xf numFmtId="164" fontId="2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2" fontId="30" fillId="0" borderId="0" xfId="1" applyNumberFormat="1" applyFont="1" applyAlignment="1">
      <alignment horizontal="right" indent="1"/>
    </xf>
    <xf numFmtId="164" fontId="31" fillId="0" borderId="0" xfId="0" applyNumberFormat="1" applyFont="1" applyAlignment="1">
      <alignment vertical="top"/>
    </xf>
    <xf numFmtId="164" fontId="31" fillId="5" borderId="0" xfId="0" applyNumberFormat="1" applyFont="1" applyFill="1" applyAlignment="1">
      <alignment vertical="top"/>
    </xf>
    <xf numFmtId="164" fontId="33" fillId="0" borderId="0" xfId="0" applyNumberFormat="1" applyFont="1"/>
    <xf numFmtId="164" fontId="34" fillId="0" borderId="0" xfId="0" applyNumberFormat="1" applyFont="1"/>
    <xf numFmtId="164" fontId="2" fillId="4" borderId="0" xfId="0" applyNumberFormat="1" applyFont="1" applyFill="1"/>
    <xf numFmtId="164" fontId="10" fillId="5" borderId="0" xfId="0" applyNumberFormat="1" applyFont="1" applyFill="1"/>
    <xf numFmtId="164" fontId="34" fillId="0" borderId="0" xfId="0" applyNumberFormat="1" applyFont="1" applyAlignment="1">
      <alignment vertical="top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DF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1704975</xdr:colOff>
      <xdr:row>8</xdr:row>
      <xdr:rowOff>76200</xdr:rowOff>
    </xdr:to>
    <xdr:pic>
      <xdr:nvPicPr>
        <xdr:cNvPr id="4142" name="Immagine 1">
          <a:extLst>
            <a:ext uri="{FF2B5EF4-FFF2-40B4-BE49-F238E27FC236}">
              <a16:creationId xmlns:a16="http://schemas.microsoft.com/office/drawing/2014/main" id="{CD086322-24D2-4AB1-8DAB-7BDAE51AC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574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2038350</xdr:colOff>
      <xdr:row>8</xdr:row>
      <xdr:rowOff>209550</xdr:rowOff>
    </xdr:to>
    <xdr:pic>
      <xdr:nvPicPr>
        <xdr:cNvPr id="3119" name="Immagine 1">
          <a:extLst>
            <a:ext uri="{FF2B5EF4-FFF2-40B4-BE49-F238E27FC236}">
              <a16:creationId xmlns:a16="http://schemas.microsoft.com/office/drawing/2014/main" id="{BC8684DC-CAD4-476F-A35A-3FA811467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41935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1714500</xdr:colOff>
      <xdr:row>8</xdr:row>
      <xdr:rowOff>114300</xdr:rowOff>
    </xdr:to>
    <xdr:pic>
      <xdr:nvPicPr>
        <xdr:cNvPr id="8214" name="Immagine 1">
          <a:extLst>
            <a:ext uri="{FF2B5EF4-FFF2-40B4-BE49-F238E27FC236}">
              <a16:creationId xmlns:a16="http://schemas.microsoft.com/office/drawing/2014/main" id="{E98212BA-6031-415E-8C4D-360730186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9552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ATO PATRIMONALE 2017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S119"/>
  <sheetViews>
    <sheetView showGridLines="0" tabSelected="1" view="pageBreakPreview" topLeftCell="A57" zoomScaleNormal="100" zoomScaleSheetLayoutView="100" workbookViewId="0">
      <selection activeCell="D119" sqref="D119"/>
    </sheetView>
  </sheetViews>
  <sheetFormatPr defaultColWidth="8.28515625" defaultRowHeight="18" outlineLevelRow="1" outlineLevelCol="1" x14ac:dyDescent="0.35"/>
  <cols>
    <col min="1" max="1" width="8.28515625" style="1" customWidth="1"/>
    <col min="2" max="2" width="52" style="1" customWidth="1"/>
    <col min="3" max="3" width="22" style="1" customWidth="1"/>
    <col min="4" max="7" width="18.7109375" style="53" customWidth="1"/>
    <col min="8" max="8" width="18.7109375" style="1" customWidth="1"/>
    <col min="9" max="10" width="18.7109375" style="13" customWidth="1"/>
    <col min="11" max="11" width="18.7109375" style="1" customWidth="1" outlineLevel="1"/>
    <col min="12" max="12" width="4.140625" style="1" customWidth="1" outlineLevel="1"/>
    <col min="13" max="13" width="18.7109375" style="1" customWidth="1" outlineLevel="1"/>
    <col min="14" max="14" width="8.28515625" style="1" customWidth="1"/>
    <col min="15" max="15" width="8.28515625" style="1"/>
    <col min="16" max="19" width="8.28515625" style="55"/>
    <col min="20" max="16384" width="8.28515625" style="1"/>
  </cols>
  <sheetData>
    <row r="11" spans="2:13" ht="31.15" customHeight="1" x14ac:dyDescent="0.35">
      <c r="B11" s="86" t="s">
        <v>159</v>
      </c>
      <c r="C11" s="86"/>
      <c r="D11" s="63"/>
      <c r="E11" s="63"/>
      <c r="F11" s="63"/>
      <c r="G11" s="63"/>
      <c r="H11" s="29"/>
      <c r="I11" s="34"/>
      <c r="J11" s="34"/>
      <c r="K11" s="29"/>
      <c r="L11" s="29"/>
      <c r="M11" s="29"/>
    </row>
    <row r="12" spans="2:13" ht="12.4" customHeight="1" x14ac:dyDescent="0.35">
      <c r="B12" s="5"/>
      <c r="C12" s="6"/>
      <c r="D12" s="64"/>
      <c r="E12" s="64"/>
      <c r="F12" s="64"/>
      <c r="G12" s="64"/>
      <c r="H12" s="6"/>
      <c r="I12" s="35"/>
      <c r="J12" s="35"/>
      <c r="K12" s="6"/>
      <c r="L12" s="6"/>
      <c r="M12" s="6"/>
    </row>
    <row r="13" spans="2:13" ht="33" customHeight="1" x14ac:dyDescent="0.35">
      <c r="B13" s="7"/>
      <c r="C13" s="8"/>
      <c r="D13" s="36" t="s">
        <v>158</v>
      </c>
      <c r="E13" s="36" t="s">
        <v>154</v>
      </c>
      <c r="F13" s="36" t="s">
        <v>150</v>
      </c>
      <c r="G13" s="36" t="s">
        <v>135</v>
      </c>
      <c r="H13" s="36" t="s">
        <v>129</v>
      </c>
      <c r="I13" s="36" t="s">
        <v>124</v>
      </c>
      <c r="J13" s="36" t="s">
        <v>119</v>
      </c>
      <c r="K13" s="36" t="s">
        <v>83</v>
      </c>
      <c r="L13" s="9"/>
      <c r="M13" s="32" t="s">
        <v>5</v>
      </c>
    </row>
    <row r="14" spans="2:13" ht="12.4" customHeight="1" x14ac:dyDescent="0.35">
      <c r="D14" s="47"/>
      <c r="E14" s="47"/>
      <c r="F14" s="47"/>
      <c r="G14" s="47"/>
      <c r="H14" s="47"/>
      <c r="K14" s="13"/>
    </row>
    <row r="15" spans="2:13" x14ac:dyDescent="0.35">
      <c r="B15" s="30" t="s">
        <v>50</v>
      </c>
      <c r="C15" s="2"/>
      <c r="D15" s="48"/>
      <c r="E15" s="48"/>
      <c r="F15" s="48"/>
      <c r="G15" s="48"/>
      <c r="H15" s="48"/>
      <c r="I15" s="33"/>
      <c r="J15" s="33"/>
      <c r="K15" s="33"/>
      <c r="L15" s="2"/>
      <c r="M15" s="2"/>
    </row>
    <row r="16" spans="2:13" x14ac:dyDescent="0.35">
      <c r="D16" s="47"/>
      <c r="E16" s="47"/>
      <c r="F16" s="47"/>
      <c r="G16" s="47"/>
      <c r="H16" s="47"/>
      <c r="K16" s="13"/>
    </row>
    <row r="17" spans="2:19" s="4" customFormat="1" x14ac:dyDescent="0.35">
      <c r="B17" s="3" t="s">
        <v>82</v>
      </c>
      <c r="C17" s="3"/>
      <c r="D17" s="49"/>
      <c r="E17" s="49"/>
      <c r="F17" s="49"/>
      <c r="G17" s="49"/>
      <c r="H17" s="49"/>
      <c r="I17" s="37"/>
      <c r="J17" s="37"/>
      <c r="K17" s="37"/>
      <c r="L17" s="3"/>
      <c r="M17" s="3"/>
      <c r="P17" s="56"/>
      <c r="Q17" s="56"/>
      <c r="R17" s="56"/>
      <c r="S17" s="56"/>
    </row>
    <row r="18" spans="2:19" ht="16.149999999999999" customHeight="1" x14ac:dyDescent="0.35">
      <c r="B18" s="1" t="s">
        <v>60</v>
      </c>
      <c r="D18" s="82">
        <v>1</v>
      </c>
      <c r="E18" s="13">
        <v>1</v>
      </c>
      <c r="F18" s="13">
        <v>1</v>
      </c>
      <c r="G18" s="13">
        <v>1</v>
      </c>
      <c r="H18" s="13">
        <v>1</v>
      </c>
      <c r="I18" s="13">
        <v>1</v>
      </c>
      <c r="J18" s="13">
        <v>1</v>
      </c>
      <c r="K18" s="13">
        <v>1</v>
      </c>
    </row>
    <row r="19" spans="2:19" ht="9" customHeight="1" x14ac:dyDescent="0.35">
      <c r="D19" s="47"/>
      <c r="E19" s="47"/>
      <c r="F19" s="47"/>
      <c r="G19" s="47"/>
      <c r="H19" s="47"/>
      <c r="K19" s="13"/>
    </row>
    <row r="20" spans="2:19" s="18" customFormat="1" x14ac:dyDescent="0.35">
      <c r="B20" s="20"/>
      <c r="C20" s="20" t="s">
        <v>81</v>
      </c>
      <c r="D20" s="19">
        <f t="shared" ref="D20:K20" si="0">SUM(D17:D18)</f>
        <v>1</v>
      </c>
      <c r="E20" s="19">
        <f t="shared" ref="E20" si="1">SUM(E17:E18)</f>
        <v>1</v>
      </c>
      <c r="F20" s="19">
        <f t="shared" ref="F20" si="2">SUM(F17:F18)</f>
        <v>1</v>
      </c>
      <c r="G20" s="19">
        <f t="shared" si="0"/>
        <v>1</v>
      </c>
      <c r="H20" s="19">
        <f t="shared" si="0"/>
        <v>1</v>
      </c>
      <c r="I20" s="19">
        <f t="shared" si="0"/>
        <v>1</v>
      </c>
      <c r="J20" s="19">
        <f t="shared" si="0"/>
        <v>1</v>
      </c>
      <c r="K20" s="19">
        <f t="shared" si="0"/>
        <v>1</v>
      </c>
      <c r="L20" s="19"/>
      <c r="M20" s="19">
        <f>SUM(M17:M18)</f>
        <v>0</v>
      </c>
      <c r="P20" s="56"/>
      <c r="Q20" s="56"/>
      <c r="R20" s="56"/>
      <c r="S20" s="56"/>
    </row>
    <row r="21" spans="2:19" x14ac:dyDescent="0.35">
      <c r="D21" s="47"/>
      <c r="E21" s="47"/>
      <c r="F21" s="47"/>
      <c r="G21" s="47"/>
      <c r="H21" s="47"/>
      <c r="K21" s="13"/>
    </row>
    <row r="22" spans="2:19" s="4" customFormat="1" hidden="1" outlineLevel="1" x14ac:dyDescent="0.35">
      <c r="B22" s="3" t="s">
        <v>105</v>
      </c>
      <c r="C22" s="3"/>
      <c r="D22" s="49"/>
      <c r="E22" s="49"/>
      <c r="F22" s="49"/>
      <c r="G22" s="49"/>
      <c r="H22" s="49"/>
      <c r="I22" s="37"/>
      <c r="J22" s="37"/>
      <c r="K22" s="37"/>
      <c r="L22" s="3"/>
      <c r="M22" s="3"/>
      <c r="P22" s="56"/>
      <c r="Q22" s="56"/>
      <c r="R22" s="56"/>
      <c r="S22" s="56"/>
    </row>
    <row r="23" spans="2:19" ht="16.149999999999999" hidden="1" customHeight="1" outlineLevel="1" x14ac:dyDescent="0.35">
      <c r="B23" s="1" t="s">
        <v>106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13">
        <v>0</v>
      </c>
      <c r="J23" s="13">
        <v>0</v>
      </c>
      <c r="K23" s="13">
        <v>0</v>
      </c>
    </row>
    <row r="24" spans="2:19" ht="9" hidden="1" customHeight="1" outlineLevel="1" x14ac:dyDescent="0.35">
      <c r="D24" s="47"/>
      <c r="E24" s="47"/>
      <c r="F24" s="47"/>
      <c r="G24" s="47"/>
      <c r="H24" s="47"/>
      <c r="K24" s="13"/>
    </row>
    <row r="25" spans="2:19" s="18" customFormat="1" hidden="1" outlineLevel="1" x14ac:dyDescent="0.35">
      <c r="B25" s="20"/>
      <c r="C25" s="20" t="s">
        <v>107</v>
      </c>
      <c r="D25" s="50">
        <f t="shared" ref="D25:K25" si="3">SUM(D22:D23)</f>
        <v>0</v>
      </c>
      <c r="E25" s="50">
        <f t="shared" ref="E25" si="4">SUM(E22:E23)</f>
        <v>0</v>
      </c>
      <c r="F25" s="50">
        <f t="shared" ref="F25" si="5">SUM(F22:F23)</f>
        <v>0</v>
      </c>
      <c r="G25" s="50">
        <f t="shared" si="3"/>
        <v>0</v>
      </c>
      <c r="H25" s="50">
        <f t="shared" si="3"/>
        <v>0</v>
      </c>
      <c r="I25" s="19">
        <f t="shared" si="3"/>
        <v>0</v>
      </c>
      <c r="J25" s="19">
        <f t="shared" si="3"/>
        <v>0</v>
      </c>
      <c r="K25" s="19">
        <f t="shared" si="3"/>
        <v>0</v>
      </c>
      <c r="L25" s="19"/>
      <c r="M25" s="19">
        <f>SUM(M22:M23)</f>
        <v>0</v>
      </c>
      <c r="P25" s="56"/>
      <c r="Q25" s="56"/>
      <c r="R25" s="56"/>
      <c r="S25" s="56"/>
    </row>
    <row r="26" spans="2:19" hidden="1" outlineLevel="1" x14ac:dyDescent="0.35">
      <c r="D26" s="47"/>
      <c r="E26" s="47"/>
      <c r="F26" s="47"/>
      <c r="G26" s="47"/>
      <c r="H26" s="47"/>
      <c r="K26" s="13"/>
    </row>
    <row r="27" spans="2:19" s="4" customFormat="1" collapsed="1" x14ac:dyDescent="0.35">
      <c r="B27" s="3" t="s">
        <v>84</v>
      </c>
      <c r="C27" s="3"/>
      <c r="D27" s="49"/>
      <c r="E27" s="49"/>
      <c r="F27" s="49"/>
      <c r="G27" s="49"/>
      <c r="H27" s="49"/>
      <c r="I27" s="37"/>
      <c r="J27" s="37"/>
      <c r="K27" s="37"/>
      <c r="L27" s="3"/>
      <c r="M27" s="3"/>
      <c r="P27" s="56"/>
      <c r="Q27" s="56"/>
      <c r="R27" s="56"/>
      <c r="S27" s="56"/>
    </row>
    <row r="28" spans="2:19" x14ac:dyDescent="0.35">
      <c r="B28" s="1" t="s">
        <v>108</v>
      </c>
      <c r="D28" s="82">
        <v>125000</v>
      </c>
      <c r="E28" s="13">
        <v>124000</v>
      </c>
      <c r="F28" s="13">
        <v>125000</v>
      </c>
      <c r="G28" s="13">
        <v>94000</v>
      </c>
      <c r="H28" s="13">
        <f>11000+157500</f>
        <v>168500</v>
      </c>
      <c r="I28" s="13">
        <v>78000</v>
      </c>
      <c r="J28" s="13">
        <v>80500</v>
      </c>
      <c r="K28" s="13">
        <v>83000</v>
      </c>
    </row>
    <row r="29" spans="2:19" x14ac:dyDescent="0.35">
      <c r="B29" s="1" t="s">
        <v>156</v>
      </c>
      <c r="D29" s="82">
        <v>0</v>
      </c>
      <c r="E29" s="13">
        <v>2000</v>
      </c>
      <c r="F29" s="13">
        <v>0</v>
      </c>
      <c r="G29" s="13"/>
      <c r="H29" s="13"/>
      <c r="K29" s="13"/>
    </row>
    <row r="30" spans="2:19" x14ac:dyDescent="0.35">
      <c r="B30" s="1" t="s">
        <v>109</v>
      </c>
      <c r="D30" s="82">
        <v>1400</v>
      </c>
      <c r="E30" s="13">
        <v>1750</v>
      </c>
      <c r="F30" s="13">
        <v>2450</v>
      </c>
      <c r="G30" s="13">
        <v>3500</v>
      </c>
      <c r="H30" s="13">
        <v>3850</v>
      </c>
      <c r="I30" s="13">
        <v>2800</v>
      </c>
      <c r="J30" s="13">
        <v>2800</v>
      </c>
      <c r="K30" s="13">
        <v>3850</v>
      </c>
    </row>
    <row r="31" spans="2:19" x14ac:dyDescent="0.35">
      <c r="B31" s="1" t="s">
        <v>110</v>
      </c>
      <c r="D31" s="82">
        <v>1610</v>
      </c>
      <c r="E31" s="13">
        <v>2300</v>
      </c>
      <c r="F31" s="13">
        <v>0</v>
      </c>
      <c r="G31" s="13">
        <v>1150</v>
      </c>
      <c r="H31" s="13">
        <v>2530</v>
      </c>
      <c r="I31" s="13">
        <v>690</v>
      </c>
      <c r="J31" s="13">
        <v>460</v>
      </c>
      <c r="K31" s="13">
        <v>230</v>
      </c>
    </row>
    <row r="32" spans="2:19" x14ac:dyDescent="0.35">
      <c r="B32" s="1" t="s">
        <v>137</v>
      </c>
      <c r="D32" s="82">
        <v>9100</v>
      </c>
      <c r="E32" s="13">
        <v>14350</v>
      </c>
      <c r="F32" s="13">
        <v>12250</v>
      </c>
      <c r="G32" s="13">
        <v>10150</v>
      </c>
      <c r="H32" s="13">
        <v>0</v>
      </c>
      <c r="K32" s="13"/>
    </row>
    <row r="33" spans="2:19" hidden="1" outlineLevel="1" x14ac:dyDescent="0.35">
      <c r="B33" s="1" t="s">
        <v>111</v>
      </c>
      <c r="D33" s="82">
        <v>0</v>
      </c>
      <c r="E33" s="47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6400</v>
      </c>
    </row>
    <row r="34" spans="2:19" collapsed="1" x14ac:dyDescent="0.35">
      <c r="B34" s="1" t="s">
        <v>112</v>
      </c>
      <c r="D34" s="82">
        <v>0</v>
      </c>
      <c r="E34" s="13">
        <v>260</v>
      </c>
      <c r="F34" s="13">
        <v>260</v>
      </c>
      <c r="G34" s="13">
        <v>130</v>
      </c>
      <c r="H34" s="13">
        <v>910</v>
      </c>
      <c r="I34" s="13">
        <v>2000</v>
      </c>
      <c r="J34" s="13">
        <v>1500</v>
      </c>
      <c r="K34" s="13">
        <v>1000</v>
      </c>
    </row>
    <row r="35" spans="2:19" x14ac:dyDescent="0.35">
      <c r="B35" s="1" t="s">
        <v>138</v>
      </c>
      <c r="D35" s="82">
        <v>56.56</v>
      </c>
      <c r="E35" s="13">
        <v>254.02</v>
      </c>
      <c r="F35" s="13">
        <v>407.16</v>
      </c>
      <c r="G35" s="13">
        <v>560.75</v>
      </c>
      <c r="H35" s="13">
        <v>0</v>
      </c>
      <c r="K35" s="13"/>
    </row>
    <row r="36" spans="2:19" hidden="1" outlineLevel="1" x14ac:dyDescent="0.35">
      <c r="B36" s="1" t="s">
        <v>61</v>
      </c>
      <c r="D36" s="47">
        <v>0</v>
      </c>
      <c r="E36" s="47">
        <v>0</v>
      </c>
      <c r="F36" s="13">
        <v>0</v>
      </c>
      <c r="G36" s="13">
        <v>0</v>
      </c>
      <c r="H36" s="13">
        <v>0</v>
      </c>
      <c r="I36" s="13">
        <v>0</v>
      </c>
      <c r="J36" s="13">
        <v>3340.99</v>
      </c>
      <c r="K36" s="13">
        <v>5800</v>
      </c>
    </row>
    <row r="37" spans="2:19" hidden="1" outlineLevel="1" x14ac:dyDescent="0.35">
      <c r="B37" s="1" t="s">
        <v>62</v>
      </c>
      <c r="D37" s="47">
        <v>0</v>
      </c>
      <c r="E37" s="47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94584.34</v>
      </c>
      <c r="P37" s="12"/>
      <c r="Q37" s="12"/>
      <c r="R37" s="12"/>
      <c r="S37" s="12"/>
    </row>
    <row r="38" spans="2:19" hidden="1" outlineLevel="1" x14ac:dyDescent="0.35">
      <c r="B38" s="1" t="s">
        <v>63</v>
      </c>
      <c r="D38" s="47">
        <v>0</v>
      </c>
      <c r="E38" s="47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3195</v>
      </c>
      <c r="P38" s="12"/>
      <c r="Q38" s="12"/>
      <c r="R38" s="12"/>
      <c r="S38" s="12"/>
    </row>
    <row r="39" spans="2:19" ht="9" customHeight="1" collapsed="1" x14ac:dyDescent="0.35">
      <c r="D39" s="47"/>
      <c r="E39" s="47"/>
      <c r="F39" s="13"/>
      <c r="G39" s="47"/>
      <c r="H39" s="47"/>
      <c r="K39" s="13"/>
    </row>
    <row r="40" spans="2:19" s="18" customFormat="1" x14ac:dyDescent="0.35">
      <c r="B40" s="20"/>
      <c r="C40" s="20" t="s">
        <v>85</v>
      </c>
      <c r="D40" s="19">
        <f t="shared" ref="D40:F40" si="6">SUM(D27:D38)</f>
        <v>137166.56</v>
      </c>
      <c r="E40" s="19">
        <f t="shared" ref="E40" si="7">SUM(E27:E38)</f>
        <v>144914.01999999999</v>
      </c>
      <c r="F40" s="19">
        <f t="shared" si="6"/>
        <v>140367.16</v>
      </c>
      <c r="G40" s="19">
        <f t="shared" ref="G40:K40" si="8">SUM(G27:G38)</f>
        <v>109490.75</v>
      </c>
      <c r="H40" s="19">
        <f t="shared" si="8"/>
        <v>175790</v>
      </c>
      <c r="I40" s="19">
        <f t="shared" si="8"/>
        <v>83490</v>
      </c>
      <c r="J40" s="19">
        <f t="shared" si="8"/>
        <v>88600.99</v>
      </c>
      <c r="K40" s="19">
        <f t="shared" si="8"/>
        <v>198059.34</v>
      </c>
      <c r="L40" s="19"/>
      <c r="M40" s="19">
        <f>SUM(M27:M38)</f>
        <v>0</v>
      </c>
      <c r="P40" s="56"/>
      <c r="Q40" s="56"/>
      <c r="R40" s="56"/>
      <c r="S40" s="56"/>
    </row>
    <row r="41" spans="2:19" x14ac:dyDescent="0.35">
      <c r="D41" s="47"/>
      <c r="E41" s="47"/>
      <c r="F41" s="47"/>
      <c r="G41" s="47"/>
      <c r="H41" s="47"/>
      <c r="K41" s="13"/>
    </row>
    <row r="42" spans="2:19" s="4" customFormat="1" x14ac:dyDescent="0.35">
      <c r="B42" s="3" t="s">
        <v>90</v>
      </c>
      <c r="C42" s="3"/>
      <c r="D42" s="49"/>
      <c r="E42" s="49"/>
      <c r="F42" s="49"/>
      <c r="G42" s="49"/>
      <c r="H42" s="49"/>
      <c r="I42" s="37"/>
      <c r="J42" s="37"/>
      <c r="K42" s="37"/>
      <c r="L42" s="3"/>
      <c r="M42" s="3"/>
      <c r="P42" s="56"/>
      <c r="Q42" s="56"/>
      <c r="R42" s="56"/>
      <c r="S42" s="56"/>
    </row>
    <row r="43" spans="2:19" x14ac:dyDescent="0.35">
      <c r="B43" s="1" t="s">
        <v>58</v>
      </c>
      <c r="D43" s="82">
        <v>141373.64000000001</v>
      </c>
      <c r="E43" s="13">
        <v>141373.64000000001</v>
      </c>
      <c r="F43" s="13">
        <v>141373.64000000001</v>
      </c>
      <c r="G43" s="13">
        <v>141373.64000000001</v>
      </c>
      <c r="H43" s="13">
        <v>141373.64000000001</v>
      </c>
      <c r="I43" s="13">
        <v>141373.64000000001</v>
      </c>
      <c r="J43" s="13">
        <v>141373.64000000001</v>
      </c>
      <c r="K43" s="13">
        <v>141373.64000000001</v>
      </c>
    </row>
    <row r="44" spans="2:19" x14ac:dyDescent="0.35">
      <c r="B44" s="1" t="s">
        <v>59</v>
      </c>
      <c r="D44" s="82">
        <v>100000</v>
      </c>
      <c r="E44" s="13">
        <v>100000</v>
      </c>
      <c r="F44" s="13">
        <v>100000</v>
      </c>
      <c r="G44" s="13">
        <v>100000</v>
      </c>
      <c r="H44" s="13">
        <v>100000</v>
      </c>
      <c r="I44" s="13">
        <v>100000</v>
      </c>
      <c r="J44" s="13">
        <v>100000</v>
      </c>
      <c r="K44" s="13">
        <v>100000</v>
      </c>
    </row>
    <row r="45" spans="2:19" ht="9" customHeight="1" x14ac:dyDescent="0.35">
      <c r="D45" s="47"/>
      <c r="E45" s="47"/>
      <c r="F45" s="47"/>
      <c r="G45" s="47"/>
      <c r="H45" s="47"/>
      <c r="K45" s="13"/>
    </row>
    <row r="46" spans="2:19" s="18" customFormat="1" x14ac:dyDescent="0.35">
      <c r="B46" s="20"/>
      <c r="C46" s="20" t="s">
        <v>89</v>
      </c>
      <c r="D46" s="19">
        <f t="shared" ref="D46:F46" si="9">SUM(D42:D44)</f>
        <v>241373.64</v>
      </c>
      <c r="E46" s="19">
        <f t="shared" ref="E46" si="10">SUM(E42:E44)</f>
        <v>241373.64</v>
      </c>
      <c r="F46" s="19">
        <f t="shared" si="9"/>
        <v>241373.64</v>
      </c>
      <c r="G46" s="19">
        <f t="shared" ref="G46:K46" si="11">SUM(G42:G44)</f>
        <v>241373.64</v>
      </c>
      <c r="H46" s="19">
        <f t="shared" si="11"/>
        <v>241373.64</v>
      </c>
      <c r="I46" s="19">
        <f t="shared" si="11"/>
        <v>241373.64</v>
      </c>
      <c r="J46" s="19">
        <f t="shared" si="11"/>
        <v>241373.64</v>
      </c>
      <c r="K46" s="19">
        <f t="shared" si="11"/>
        <v>241373.64</v>
      </c>
      <c r="L46" s="19"/>
      <c r="M46" s="19">
        <f>SUM(M42:M44)</f>
        <v>0</v>
      </c>
      <c r="P46" s="56"/>
      <c r="Q46" s="56"/>
      <c r="R46" s="56"/>
      <c r="S46" s="56"/>
    </row>
    <row r="47" spans="2:19" x14ac:dyDescent="0.35">
      <c r="D47" s="47"/>
      <c r="E47" s="47"/>
      <c r="F47" s="47"/>
      <c r="G47" s="47"/>
      <c r="H47" s="47"/>
      <c r="K47" s="13"/>
    </row>
    <row r="48" spans="2:19" s="4" customFormat="1" x14ac:dyDescent="0.35">
      <c r="B48" s="3" t="s">
        <v>86</v>
      </c>
      <c r="C48" s="3"/>
      <c r="D48" s="49"/>
      <c r="E48" s="49"/>
      <c r="F48" s="49"/>
      <c r="G48" s="49"/>
      <c r="H48" s="49"/>
      <c r="I48" s="37"/>
      <c r="J48" s="37"/>
      <c r="K48" s="37"/>
      <c r="L48" s="3"/>
      <c r="M48" s="3"/>
      <c r="P48" s="56"/>
      <c r="Q48" s="56"/>
      <c r="R48" s="56"/>
      <c r="S48" s="56"/>
    </row>
    <row r="49" spans="2:19" x14ac:dyDescent="0.35">
      <c r="B49" s="1" t="s">
        <v>51</v>
      </c>
      <c r="C49" s="1" t="s">
        <v>52</v>
      </c>
      <c r="D49" s="82">
        <v>1566.1</v>
      </c>
      <c r="E49" s="13">
        <v>1175.26</v>
      </c>
      <c r="F49" s="13">
        <v>3600.84</v>
      </c>
      <c r="G49" s="13">
        <v>5052.28</v>
      </c>
      <c r="H49" s="13">
        <v>2090.64</v>
      </c>
      <c r="I49" s="13">
        <v>4778.0600000000004</v>
      </c>
      <c r="J49" s="13">
        <v>4447.8999999999996</v>
      </c>
      <c r="K49" s="13">
        <v>3921.88</v>
      </c>
    </row>
    <row r="50" spans="2:19" ht="7.9" customHeight="1" x14ac:dyDescent="0.35">
      <c r="D50" s="47"/>
      <c r="E50" s="13"/>
      <c r="F50" s="47"/>
      <c r="G50" s="47"/>
      <c r="H50" s="47"/>
      <c r="K50" s="13"/>
    </row>
    <row r="51" spans="2:19" x14ac:dyDescent="0.35">
      <c r="B51" s="1" t="s">
        <v>53</v>
      </c>
      <c r="D51" s="82">
        <v>36197.730000000003</v>
      </c>
      <c r="E51" s="13">
        <v>59288.95</v>
      </c>
      <c r="F51" s="13">
        <v>32002.42</v>
      </c>
      <c r="G51" s="13">
        <v>57529.24</v>
      </c>
      <c r="H51" s="13">
        <v>60734.74</v>
      </c>
      <c r="I51" s="13">
        <v>109970.82</v>
      </c>
      <c r="J51" s="13">
        <v>48465.75</v>
      </c>
      <c r="K51" s="13">
        <v>45183.76</v>
      </c>
    </row>
    <row r="52" spans="2:19" x14ac:dyDescent="0.35">
      <c r="B52" s="1" t="s">
        <v>54</v>
      </c>
      <c r="D52" s="82">
        <v>215979.35</v>
      </c>
      <c r="E52" s="13">
        <v>234130.35</v>
      </c>
      <c r="F52" s="13">
        <v>370923.69</v>
      </c>
      <c r="G52" s="13">
        <v>422286.09</v>
      </c>
      <c r="H52" s="13">
        <v>30752.99</v>
      </c>
      <c r="I52" s="13">
        <v>132337.73000000001</v>
      </c>
      <c r="J52" s="13">
        <v>391152.43</v>
      </c>
      <c r="K52" s="13">
        <v>387188.45</v>
      </c>
    </row>
    <row r="53" spans="2:19" x14ac:dyDescent="0.35">
      <c r="B53" s="1" t="s">
        <v>55</v>
      </c>
      <c r="D53" s="82">
        <v>47661.14</v>
      </c>
      <c r="E53" s="13">
        <v>143797.53</v>
      </c>
      <c r="F53" s="13">
        <v>227870.99</v>
      </c>
      <c r="G53" s="13">
        <v>94693.39</v>
      </c>
      <c r="H53" s="13">
        <v>465481.19</v>
      </c>
      <c r="I53" s="13">
        <v>428676.2</v>
      </c>
      <c r="J53" s="13">
        <v>358353.47</v>
      </c>
      <c r="K53" s="13">
        <v>245956.82</v>
      </c>
    </row>
    <row r="54" spans="2:19" x14ac:dyDescent="0.35">
      <c r="B54" s="1" t="s">
        <v>56</v>
      </c>
      <c r="D54" s="82">
        <v>273002.23</v>
      </c>
      <c r="E54" s="13">
        <v>243711.6</v>
      </c>
      <c r="F54" s="13">
        <v>221924.7</v>
      </c>
      <c r="G54" s="13">
        <v>200703.14</v>
      </c>
      <c r="H54" s="13">
        <v>224644.98</v>
      </c>
      <c r="I54" s="13">
        <v>219936.1</v>
      </c>
      <c r="J54" s="13">
        <v>187612.02</v>
      </c>
      <c r="K54" s="13">
        <v>155517.26</v>
      </c>
    </row>
    <row r="55" spans="2:19" x14ac:dyDescent="0.35">
      <c r="B55" s="1" t="s">
        <v>57</v>
      </c>
      <c r="D55" s="82">
        <v>0</v>
      </c>
      <c r="E55" s="13">
        <v>8510.89</v>
      </c>
      <c r="F55" s="13">
        <v>8534.89</v>
      </c>
      <c r="G55" s="13">
        <v>36134.89</v>
      </c>
      <c r="H55" s="13">
        <v>19734.89</v>
      </c>
      <c r="I55" s="13">
        <v>12420.05</v>
      </c>
      <c r="J55" s="13">
        <v>9320.0499999999993</v>
      </c>
      <c r="K55" s="13">
        <v>1136.05</v>
      </c>
    </row>
    <row r="56" spans="2:19" ht="9" customHeight="1" x14ac:dyDescent="0.35">
      <c r="D56" s="47"/>
      <c r="E56" s="47"/>
      <c r="F56" s="47"/>
      <c r="G56" s="47"/>
      <c r="H56" s="47"/>
      <c r="K56" s="13"/>
    </row>
    <row r="57" spans="2:19" s="18" customFormat="1" x14ac:dyDescent="0.35">
      <c r="B57" s="20"/>
      <c r="C57" s="20" t="s">
        <v>87</v>
      </c>
      <c r="D57" s="19">
        <f t="shared" ref="D57:F57" si="12">SUM(D48:D55)</f>
        <v>574406.55000000005</v>
      </c>
      <c r="E57" s="19">
        <f t="shared" ref="E57" si="13">SUM(E48:E55)</f>
        <v>690614.58</v>
      </c>
      <c r="F57" s="19">
        <f t="shared" si="12"/>
        <v>864857.52999999991</v>
      </c>
      <c r="G57" s="19">
        <f t="shared" ref="G57:K57" si="14">SUM(G48:G55)</f>
        <v>816399.03</v>
      </c>
      <c r="H57" s="19">
        <f t="shared" si="14"/>
        <v>803439.43</v>
      </c>
      <c r="I57" s="19">
        <f t="shared" si="14"/>
        <v>908118.96000000008</v>
      </c>
      <c r="J57" s="19">
        <f t="shared" si="14"/>
        <v>999351.62000000011</v>
      </c>
      <c r="K57" s="19">
        <f t="shared" si="14"/>
        <v>838904.22000000009</v>
      </c>
      <c r="L57" s="19"/>
      <c r="M57" s="19">
        <f>SUM(M48:M55)</f>
        <v>0</v>
      </c>
      <c r="P57" s="56"/>
      <c r="Q57" s="56"/>
      <c r="R57" s="56"/>
      <c r="S57" s="56"/>
    </row>
    <row r="58" spans="2:19" s="18" customFormat="1" x14ac:dyDescent="0.35">
      <c r="D58" s="51"/>
      <c r="E58" s="51"/>
      <c r="F58" s="51"/>
      <c r="G58" s="51"/>
      <c r="H58" s="51"/>
      <c r="I58" s="38"/>
      <c r="J58" s="38"/>
      <c r="K58" s="38"/>
      <c r="P58" s="56"/>
      <c r="Q58" s="56"/>
      <c r="R58" s="56"/>
      <c r="S58" s="56"/>
    </row>
    <row r="59" spans="2:19" s="4" customFormat="1" x14ac:dyDescent="0.35">
      <c r="B59" s="30" t="s">
        <v>64</v>
      </c>
      <c r="C59" s="30"/>
      <c r="D59" s="40">
        <f t="shared" ref="D59:F59" si="15">SUM(D20,D57,D46,D40,D25)</f>
        <v>952947.75</v>
      </c>
      <c r="E59" s="40">
        <f t="shared" ref="E59" si="16">SUM(E20,E57,E46,E40,E25)</f>
        <v>1076903.24</v>
      </c>
      <c r="F59" s="40">
        <f t="shared" si="15"/>
        <v>1246599.3299999998</v>
      </c>
      <c r="G59" s="40">
        <f t="shared" ref="G59:K59" si="17">SUM(G20,G57,G46,G40,G25)</f>
        <v>1167264.42</v>
      </c>
      <c r="H59" s="40">
        <f t="shared" si="17"/>
        <v>1220604.07</v>
      </c>
      <c r="I59" s="40">
        <f t="shared" si="17"/>
        <v>1232983.6000000001</v>
      </c>
      <c r="J59" s="40">
        <f t="shared" si="17"/>
        <v>1329327.2500000002</v>
      </c>
      <c r="K59" s="40">
        <f t="shared" si="17"/>
        <v>1278338.2000000002</v>
      </c>
      <c r="L59" s="30"/>
      <c r="M59" s="40">
        <f>SUM(M57,M46,M40,M25)</f>
        <v>0</v>
      </c>
      <c r="P59" s="56"/>
      <c r="Q59" s="56"/>
      <c r="R59" s="56"/>
      <c r="S59" s="56"/>
    </row>
    <row r="60" spans="2:19" x14ac:dyDescent="0.35">
      <c r="D60" s="47"/>
      <c r="E60" s="47"/>
      <c r="F60" s="47"/>
      <c r="G60" s="47"/>
      <c r="H60" s="47"/>
      <c r="K60" s="13"/>
    </row>
    <row r="61" spans="2:19" s="4" customFormat="1" x14ac:dyDescent="0.35">
      <c r="B61" s="3" t="s">
        <v>65</v>
      </c>
      <c r="C61" s="3"/>
      <c r="D61" s="49"/>
      <c r="E61" s="49"/>
      <c r="F61" s="49"/>
      <c r="G61" s="49"/>
      <c r="H61" s="49"/>
      <c r="I61" s="37"/>
      <c r="J61" s="37"/>
      <c r="K61" s="37"/>
      <c r="L61" s="3"/>
      <c r="M61" s="3"/>
      <c r="P61" s="56"/>
      <c r="Q61" s="56"/>
      <c r="R61" s="56"/>
      <c r="S61" s="56"/>
    </row>
    <row r="62" spans="2:19" x14ac:dyDescent="0.35">
      <c r="B62" s="1" t="s">
        <v>66</v>
      </c>
      <c r="D62" s="82">
        <v>107407.11</v>
      </c>
      <c r="E62" s="13">
        <v>105267.37</v>
      </c>
      <c r="F62" s="13">
        <v>101956.47</v>
      </c>
      <c r="G62" s="13">
        <v>108449.5</v>
      </c>
      <c r="H62" s="13">
        <v>107303.67999999999</v>
      </c>
      <c r="I62" s="13">
        <v>106927.32</v>
      </c>
      <c r="J62" s="13">
        <v>102566.28</v>
      </c>
      <c r="K62" s="13">
        <v>107734.22</v>
      </c>
    </row>
    <row r="63" spans="2:19" x14ac:dyDescent="0.35">
      <c r="B63" s="1" t="s">
        <v>67</v>
      </c>
      <c r="D63" s="82">
        <v>184908.19</v>
      </c>
      <c r="E63" s="13">
        <v>177138.46</v>
      </c>
      <c r="F63" s="13">
        <v>168348.09</v>
      </c>
      <c r="G63" s="13">
        <v>187213.38</v>
      </c>
      <c r="H63" s="13">
        <v>184089.31</v>
      </c>
      <c r="I63" s="13">
        <v>181370.87</v>
      </c>
      <c r="J63" s="13">
        <v>174870.87</v>
      </c>
      <c r="K63" s="13">
        <v>182869.69</v>
      </c>
    </row>
    <row r="64" spans="2:19" x14ac:dyDescent="0.35">
      <c r="B64" s="1" t="s">
        <v>68</v>
      </c>
      <c r="D64" s="82">
        <v>80000</v>
      </c>
      <c r="E64" s="13">
        <v>80000</v>
      </c>
      <c r="F64" s="13">
        <v>80000</v>
      </c>
      <c r="G64" s="13">
        <v>80000</v>
      </c>
      <c r="H64" s="13">
        <v>80000</v>
      </c>
      <c r="I64" s="13">
        <v>80000</v>
      </c>
      <c r="J64" s="13">
        <v>80000</v>
      </c>
      <c r="K64" s="13">
        <v>80000</v>
      </c>
    </row>
    <row r="65" spans="1:19" x14ac:dyDescent="0.35">
      <c r="B65" s="1" t="s">
        <v>130</v>
      </c>
      <c r="D65" s="82">
        <v>0</v>
      </c>
      <c r="E65" s="13">
        <v>0</v>
      </c>
      <c r="F65" s="13">
        <v>0</v>
      </c>
      <c r="G65" s="13">
        <v>0</v>
      </c>
      <c r="H65" s="13">
        <v>15117.67</v>
      </c>
      <c r="K65" s="13"/>
    </row>
    <row r="66" spans="1:19" ht="9" customHeight="1" x14ac:dyDescent="0.35">
      <c r="D66" s="47"/>
      <c r="E66" s="47"/>
      <c r="F66" s="47"/>
      <c r="G66" s="47"/>
      <c r="H66" s="47"/>
      <c r="K66" s="13"/>
    </row>
    <row r="67" spans="1:19" s="18" customFormat="1" x14ac:dyDescent="0.35">
      <c r="B67" s="20"/>
      <c r="C67" s="20" t="s">
        <v>88</v>
      </c>
      <c r="D67" s="19">
        <f t="shared" ref="D67:F67" si="18">SUM(D61:D65)</f>
        <v>372315.3</v>
      </c>
      <c r="E67" s="19">
        <f t="shared" ref="E67" si="19">SUM(E61:E65)</f>
        <v>362405.82999999996</v>
      </c>
      <c r="F67" s="19">
        <f t="shared" si="18"/>
        <v>350304.56</v>
      </c>
      <c r="G67" s="19">
        <f t="shared" ref="G67:K67" si="20">SUM(G61:G65)</f>
        <v>375662.88</v>
      </c>
      <c r="H67" s="19">
        <f t="shared" si="20"/>
        <v>386510.66</v>
      </c>
      <c r="I67" s="19">
        <f t="shared" si="20"/>
        <v>368298.19</v>
      </c>
      <c r="J67" s="19">
        <f t="shared" si="20"/>
        <v>357437.15</v>
      </c>
      <c r="K67" s="19">
        <f t="shared" si="20"/>
        <v>370603.91000000003</v>
      </c>
      <c r="L67" s="19"/>
      <c r="M67" s="19">
        <f>SUM(M58:M65)</f>
        <v>0</v>
      </c>
      <c r="P67" s="56"/>
      <c r="Q67" s="56"/>
      <c r="R67" s="56"/>
      <c r="S67" s="56"/>
    </row>
    <row r="68" spans="1:19" s="18" customFormat="1" x14ac:dyDescent="0.35">
      <c r="D68" s="52"/>
      <c r="E68" s="52"/>
      <c r="F68" s="52"/>
      <c r="G68" s="52"/>
      <c r="H68" s="52"/>
      <c r="P68" s="56"/>
      <c r="Q68" s="56"/>
      <c r="R68" s="56"/>
      <c r="S68" s="56"/>
    </row>
    <row r="69" spans="1:19" s="18" customFormat="1" x14ac:dyDescent="0.35">
      <c r="B69" s="41" t="s">
        <v>69</v>
      </c>
      <c r="C69" s="41"/>
      <c r="D69" s="42">
        <f t="shared" ref="D69:F69" si="21">SUM(D67,D59)</f>
        <v>1325263.05</v>
      </c>
      <c r="E69" s="42">
        <f t="shared" ref="E69" si="22">SUM(E67,E59)</f>
        <v>1439309.0699999998</v>
      </c>
      <c r="F69" s="42">
        <f t="shared" si="21"/>
        <v>1596903.89</v>
      </c>
      <c r="G69" s="42">
        <f t="shared" ref="G69:K69" si="23">SUM(G67,G59)</f>
        <v>1542927.2999999998</v>
      </c>
      <c r="H69" s="42">
        <f t="shared" si="23"/>
        <v>1607114.73</v>
      </c>
      <c r="I69" s="42">
        <f t="shared" si="23"/>
        <v>1601281.79</v>
      </c>
      <c r="J69" s="42">
        <f t="shared" si="23"/>
        <v>1686764.4000000004</v>
      </c>
      <c r="K69" s="42">
        <f t="shared" si="23"/>
        <v>1648942.1100000003</v>
      </c>
      <c r="L69" s="41"/>
      <c r="M69" s="42">
        <f>SUM(M67,M59)</f>
        <v>0</v>
      </c>
      <c r="P69" s="56"/>
      <c r="Q69" s="56"/>
      <c r="R69" s="56"/>
      <c r="S69" s="56"/>
    </row>
    <row r="70" spans="1:19" x14ac:dyDescent="0.35">
      <c r="D70" s="47"/>
      <c r="E70" s="47"/>
      <c r="F70" s="47"/>
      <c r="G70" s="47"/>
      <c r="H70" s="47"/>
      <c r="K70" s="13"/>
    </row>
    <row r="71" spans="1:19" x14ac:dyDescent="0.35">
      <c r="D71" s="47"/>
      <c r="E71" s="47"/>
      <c r="F71" s="47"/>
      <c r="G71" s="47"/>
      <c r="H71" s="47"/>
      <c r="K71" s="13"/>
    </row>
    <row r="72" spans="1:19" x14ac:dyDescent="0.35">
      <c r="B72" s="30" t="s">
        <v>70</v>
      </c>
      <c r="C72" s="2"/>
      <c r="D72" s="48"/>
      <c r="E72" s="48"/>
      <c r="F72" s="48"/>
      <c r="G72" s="48"/>
      <c r="H72" s="48"/>
      <c r="I72" s="33"/>
      <c r="J72" s="33"/>
      <c r="K72" s="33"/>
      <c r="L72" s="2"/>
      <c r="M72" s="2"/>
    </row>
    <row r="73" spans="1:19" x14ac:dyDescent="0.35">
      <c r="D73" s="47"/>
      <c r="E73" s="47"/>
      <c r="F73" s="47"/>
      <c r="G73" s="47"/>
      <c r="H73" s="47"/>
      <c r="K73" s="13"/>
    </row>
    <row r="74" spans="1:19" s="4" customFormat="1" x14ac:dyDescent="0.35">
      <c r="B74" s="3" t="s">
        <v>79</v>
      </c>
      <c r="C74" s="3"/>
      <c r="D74" s="49"/>
      <c r="E74" s="49"/>
      <c r="F74" s="49"/>
      <c r="G74" s="49"/>
      <c r="H74" s="49"/>
      <c r="I74" s="37"/>
      <c r="J74" s="37"/>
      <c r="K74" s="37"/>
      <c r="L74" s="3"/>
      <c r="M74" s="3"/>
      <c r="P74" s="56"/>
      <c r="Q74" s="56"/>
      <c r="R74" s="56"/>
      <c r="S74" s="56"/>
    </row>
    <row r="75" spans="1:19" x14ac:dyDescent="0.35">
      <c r="B75" s="1" t="s">
        <v>79</v>
      </c>
      <c r="D75" s="82">
        <v>291608.12</v>
      </c>
      <c r="E75" s="13">
        <v>291608.12</v>
      </c>
      <c r="F75" s="13">
        <v>291608.12</v>
      </c>
      <c r="G75" s="13">
        <v>291608.12</v>
      </c>
      <c r="H75" s="13">
        <v>291608.12</v>
      </c>
      <c r="I75" s="13">
        <v>291608.12</v>
      </c>
      <c r="J75" s="13">
        <v>291608.12</v>
      </c>
      <c r="K75" s="13">
        <v>291608.12</v>
      </c>
    </row>
    <row r="76" spans="1:19" ht="9" customHeight="1" x14ac:dyDescent="0.35">
      <c r="H76" s="53"/>
      <c r="I76" s="1"/>
      <c r="J76" s="1"/>
    </row>
    <row r="77" spans="1:19" s="18" customFormat="1" x14ac:dyDescent="0.35">
      <c r="B77" s="20"/>
      <c r="C77" s="20" t="s">
        <v>91</v>
      </c>
      <c r="D77" s="19">
        <f t="shared" ref="D77:F77" si="24">SUM(D71:D75)</f>
        <v>291608.12</v>
      </c>
      <c r="E77" s="19">
        <f t="shared" ref="E77" si="25">SUM(E71:E75)</f>
        <v>291608.12</v>
      </c>
      <c r="F77" s="19">
        <f t="shared" si="24"/>
        <v>291608.12</v>
      </c>
      <c r="G77" s="19">
        <f t="shared" ref="G77:K77" si="26">SUM(G71:G75)</f>
        <v>291608.12</v>
      </c>
      <c r="H77" s="19">
        <f t="shared" si="26"/>
        <v>291608.12</v>
      </c>
      <c r="I77" s="19">
        <f t="shared" si="26"/>
        <v>291608.12</v>
      </c>
      <c r="J77" s="19">
        <f t="shared" si="26"/>
        <v>291608.12</v>
      </c>
      <c r="K77" s="19">
        <f t="shared" si="26"/>
        <v>291608.12</v>
      </c>
      <c r="L77" s="19"/>
      <c r="M77" s="19">
        <f>SUM(M67:M76)</f>
        <v>0</v>
      </c>
      <c r="P77" s="56"/>
      <c r="Q77" s="56"/>
      <c r="R77" s="56"/>
      <c r="S77" s="56"/>
    </row>
    <row r="78" spans="1:19" x14ac:dyDescent="0.35">
      <c r="A78" s="4"/>
      <c r="D78" s="47"/>
      <c r="E78" s="47"/>
      <c r="F78" s="47"/>
      <c r="G78" s="47"/>
      <c r="H78" s="47"/>
      <c r="K78" s="13"/>
    </row>
    <row r="79" spans="1:19" s="4" customFormat="1" x14ac:dyDescent="0.35">
      <c r="B79" s="3" t="s">
        <v>92</v>
      </c>
      <c r="C79" s="3"/>
      <c r="D79" s="49"/>
      <c r="E79" s="49"/>
      <c r="F79" s="49"/>
      <c r="G79" s="49"/>
      <c r="H79" s="49"/>
      <c r="I79" s="37"/>
      <c r="J79" s="37"/>
      <c r="K79" s="37"/>
      <c r="L79" s="3"/>
      <c r="M79" s="3"/>
      <c r="P79" s="56"/>
      <c r="Q79" s="56"/>
      <c r="R79" s="56"/>
      <c r="S79" s="56"/>
    </row>
    <row r="80" spans="1:19" x14ac:dyDescent="0.35">
      <c r="B80" s="1" t="s">
        <v>74</v>
      </c>
      <c r="D80" s="82">
        <v>21147.01</v>
      </c>
      <c r="E80" s="13">
        <v>22647.01</v>
      </c>
      <c r="F80" s="13">
        <v>22647.01</v>
      </c>
      <c r="G80" s="13">
        <v>22647.01</v>
      </c>
      <c r="H80" s="13">
        <v>20937.46</v>
      </c>
      <c r="I80" s="13">
        <v>20937.46</v>
      </c>
      <c r="J80" s="13">
        <v>20937.46</v>
      </c>
      <c r="K80" s="13">
        <v>10937.46</v>
      </c>
    </row>
    <row r="81" spans="1:19" x14ac:dyDescent="0.35">
      <c r="B81" s="1" t="s">
        <v>75</v>
      </c>
      <c r="D81" s="82">
        <v>26877.95</v>
      </c>
      <c r="E81" s="13">
        <v>26877.95</v>
      </c>
      <c r="F81" s="13">
        <v>26877.95</v>
      </c>
      <c r="G81" s="13">
        <v>29673.599999999999</v>
      </c>
      <c r="H81" s="13">
        <v>36200</v>
      </c>
      <c r="I81" s="13">
        <v>36200</v>
      </c>
      <c r="J81" s="13">
        <v>36200</v>
      </c>
      <c r="K81" s="13">
        <v>36200</v>
      </c>
    </row>
    <row r="82" spans="1:19" x14ac:dyDescent="0.35">
      <c r="A82" s="18"/>
      <c r="B82" s="1" t="s">
        <v>76</v>
      </c>
      <c r="C82" s="18"/>
      <c r="D82" s="82">
        <v>39299.769999999997</v>
      </c>
      <c r="E82" s="13">
        <v>40019.769999999997</v>
      </c>
      <c r="F82" s="13">
        <v>41300.769999999997</v>
      </c>
      <c r="G82" s="13">
        <v>41300.769999999997</v>
      </c>
      <c r="H82" s="13">
        <v>41300.769999999997</v>
      </c>
      <c r="I82" s="13">
        <v>72195.86</v>
      </c>
      <c r="J82" s="13">
        <v>123086.49</v>
      </c>
      <c r="K82" s="13">
        <v>123086.49</v>
      </c>
    </row>
    <row r="83" spans="1:19" s="18" customFormat="1" x14ac:dyDescent="0.35">
      <c r="A83" s="1"/>
      <c r="B83" s="1" t="s">
        <v>77</v>
      </c>
      <c r="C83" s="1"/>
      <c r="D83" s="82">
        <v>5082.18</v>
      </c>
      <c r="E83" s="13">
        <v>42149.26</v>
      </c>
      <c r="F83" s="13">
        <v>141810.35</v>
      </c>
      <c r="G83" s="13">
        <v>156812.78</v>
      </c>
      <c r="H83" s="13">
        <v>166556.31</v>
      </c>
      <c r="I83" s="13">
        <v>166556.31</v>
      </c>
      <c r="J83" s="13">
        <v>166556.31</v>
      </c>
      <c r="K83" s="13">
        <v>166556.31</v>
      </c>
      <c r="P83" s="56"/>
      <c r="Q83" s="56"/>
      <c r="R83" s="56"/>
      <c r="S83" s="56"/>
    </row>
    <row r="84" spans="1:19" x14ac:dyDescent="0.35">
      <c r="B84" s="1" t="s">
        <v>78</v>
      </c>
      <c r="D84" s="82">
        <v>241053.37</v>
      </c>
      <c r="E84" s="13">
        <v>348032.2</v>
      </c>
      <c r="F84" s="13">
        <v>348032.2</v>
      </c>
      <c r="G84" s="13">
        <v>380934.78</v>
      </c>
      <c r="H84" s="13">
        <v>380934.78</v>
      </c>
      <c r="I84" s="13">
        <v>391835.34</v>
      </c>
      <c r="J84" s="13">
        <v>391835.34</v>
      </c>
      <c r="K84" s="13">
        <v>391835.34</v>
      </c>
    </row>
    <row r="85" spans="1:19" x14ac:dyDescent="0.35">
      <c r="B85" s="1" t="s">
        <v>120</v>
      </c>
      <c r="D85" s="82">
        <v>25309.4</v>
      </c>
      <c r="E85" s="13">
        <v>26159.4</v>
      </c>
      <c r="F85" s="13">
        <v>28759.4</v>
      </c>
      <c r="G85" s="13">
        <v>32559.4</v>
      </c>
      <c r="H85" s="13">
        <v>37059.4</v>
      </c>
      <c r="I85" s="13">
        <v>43309.4</v>
      </c>
      <c r="J85" s="13">
        <v>40000</v>
      </c>
      <c r="K85" s="13">
        <v>0</v>
      </c>
    </row>
    <row r="86" spans="1:19" hidden="1" outlineLevel="1" x14ac:dyDescent="0.35">
      <c r="B86" s="1" t="s">
        <v>121</v>
      </c>
      <c r="D86" s="47">
        <v>0</v>
      </c>
      <c r="E86" s="47">
        <v>0</v>
      </c>
      <c r="F86" s="47">
        <v>0</v>
      </c>
      <c r="G86" s="13">
        <v>0</v>
      </c>
      <c r="H86" s="13">
        <v>0</v>
      </c>
      <c r="I86" s="13">
        <v>0</v>
      </c>
      <c r="J86" s="13">
        <v>20045.98</v>
      </c>
      <c r="K86" s="13">
        <v>0</v>
      </c>
    </row>
    <row r="87" spans="1:19" ht="9" customHeight="1" collapsed="1" x14ac:dyDescent="0.35">
      <c r="A87" s="11"/>
      <c r="H87" s="53"/>
      <c r="I87" s="1"/>
      <c r="J87" s="1"/>
    </row>
    <row r="88" spans="1:19" s="18" customFormat="1" x14ac:dyDescent="0.35">
      <c r="B88" s="20"/>
      <c r="C88" s="20" t="s">
        <v>93</v>
      </c>
      <c r="D88" s="19">
        <f t="shared" ref="D88:K88" si="27">SUM(D80:D87)</f>
        <v>358769.68000000005</v>
      </c>
      <c r="E88" s="19">
        <f t="shared" ref="E88" si="28">SUM(E80:E87)</f>
        <v>505885.59</v>
      </c>
      <c r="F88" s="19">
        <f t="shared" si="27"/>
        <v>609427.68000000005</v>
      </c>
      <c r="G88" s="19">
        <f t="shared" si="27"/>
        <v>663928.34000000008</v>
      </c>
      <c r="H88" s="19">
        <f t="shared" si="27"/>
        <v>682988.72000000009</v>
      </c>
      <c r="I88" s="19">
        <f t="shared" si="27"/>
        <v>731034.37</v>
      </c>
      <c r="J88" s="19">
        <f t="shared" si="27"/>
        <v>798661.58000000007</v>
      </c>
      <c r="K88" s="19">
        <f t="shared" si="27"/>
        <v>728615.60000000009</v>
      </c>
      <c r="L88" s="19"/>
      <c r="M88" s="19">
        <f>SUM(M73:M87)</f>
        <v>0</v>
      </c>
      <c r="P88" s="56"/>
      <c r="Q88" s="56"/>
      <c r="R88" s="56"/>
      <c r="S88" s="56"/>
    </row>
    <row r="89" spans="1:19" x14ac:dyDescent="0.35">
      <c r="A89" s="4"/>
      <c r="D89" s="47"/>
      <c r="E89" s="47"/>
      <c r="F89" s="47"/>
      <c r="G89" s="47"/>
      <c r="H89" s="47"/>
      <c r="K89" s="13"/>
    </row>
    <row r="90" spans="1:19" s="4" customFormat="1" x14ac:dyDescent="0.35">
      <c r="B90" s="3" t="s">
        <v>94</v>
      </c>
      <c r="C90" s="3"/>
      <c r="D90" s="49"/>
      <c r="E90" s="49"/>
      <c r="F90" s="49"/>
      <c r="G90" s="49"/>
      <c r="H90" s="49"/>
      <c r="I90" s="37"/>
      <c r="J90" s="37"/>
      <c r="K90" s="37"/>
      <c r="L90" s="3"/>
      <c r="M90" s="3"/>
      <c r="P90" s="56"/>
      <c r="Q90" s="56"/>
      <c r="R90" s="56"/>
      <c r="S90" s="56"/>
    </row>
    <row r="91" spans="1:19" x14ac:dyDescent="0.35">
      <c r="B91" s="1" t="s">
        <v>73</v>
      </c>
      <c r="D91" s="82">
        <v>237283.75</v>
      </c>
      <c r="E91" s="13">
        <v>221204.7</v>
      </c>
      <c r="F91" s="13">
        <v>196006.21</v>
      </c>
      <c r="G91" s="13">
        <v>173344.78</v>
      </c>
      <c r="H91" s="13">
        <v>156806.66</v>
      </c>
      <c r="I91" s="13">
        <v>133834.71</v>
      </c>
      <c r="J91" s="13">
        <v>133362.4</v>
      </c>
      <c r="K91" s="13">
        <v>155838.6</v>
      </c>
    </row>
    <row r="92" spans="1:19" ht="9" customHeight="1" x14ac:dyDescent="0.35">
      <c r="A92" s="18"/>
      <c r="H92" s="53"/>
      <c r="I92" s="1"/>
      <c r="J92" s="1"/>
    </row>
    <row r="93" spans="1:19" s="18" customFormat="1" x14ac:dyDescent="0.35">
      <c r="B93" s="20"/>
      <c r="C93" s="20" t="s">
        <v>95</v>
      </c>
      <c r="D93" s="19">
        <f t="shared" ref="D93:F93" si="29">SUM(D90:D91)</f>
        <v>237283.75</v>
      </c>
      <c r="E93" s="19">
        <f t="shared" ref="E93" si="30">SUM(E90:E91)</f>
        <v>221204.7</v>
      </c>
      <c r="F93" s="19">
        <f t="shared" si="29"/>
        <v>196006.21</v>
      </c>
      <c r="G93" s="19">
        <f t="shared" ref="G93:K93" si="31">SUM(G90:G91)</f>
        <v>173344.78</v>
      </c>
      <c r="H93" s="19">
        <f t="shared" si="31"/>
        <v>156806.66</v>
      </c>
      <c r="I93" s="19">
        <f t="shared" si="31"/>
        <v>133834.71</v>
      </c>
      <c r="J93" s="19">
        <f t="shared" si="31"/>
        <v>133362.4</v>
      </c>
      <c r="K93" s="19">
        <f t="shared" si="31"/>
        <v>155838.6</v>
      </c>
      <c r="L93" s="19"/>
      <c r="M93" s="19">
        <f>SUM(M82:M92)</f>
        <v>0</v>
      </c>
      <c r="P93" s="56"/>
      <c r="Q93" s="56"/>
      <c r="R93" s="56"/>
      <c r="S93" s="56"/>
    </row>
    <row r="94" spans="1:19" x14ac:dyDescent="0.35">
      <c r="D94" s="47"/>
      <c r="E94" s="47"/>
      <c r="F94" s="47"/>
      <c r="G94" s="47"/>
      <c r="H94" s="47"/>
      <c r="K94" s="13"/>
    </row>
    <row r="95" spans="1:19" s="4" customFormat="1" x14ac:dyDescent="0.35">
      <c r="B95" s="3" t="s">
        <v>96</v>
      </c>
      <c r="C95" s="3"/>
      <c r="D95" s="49"/>
      <c r="E95" s="49"/>
      <c r="F95" s="49"/>
      <c r="G95" s="49"/>
      <c r="H95" s="49"/>
      <c r="I95" s="37"/>
      <c r="J95" s="37"/>
      <c r="K95" s="37"/>
      <c r="L95" s="3"/>
      <c r="M95" s="3"/>
      <c r="P95" s="56"/>
      <c r="Q95" s="56"/>
      <c r="R95" s="56"/>
      <c r="S95" s="56"/>
    </row>
    <row r="96" spans="1:19" x14ac:dyDescent="0.35">
      <c r="B96" s="1" t="s">
        <v>72</v>
      </c>
      <c r="D96" s="82">
        <v>0</v>
      </c>
      <c r="E96" s="13">
        <v>0</v>
      </c>
      <c r="F96" s="13">
        <v>87976.7</v>
      </c>
      <c r="G96" s="13">
        <v>0</v>
      </c>
      <c r="H96" s="13">
        <v>2120.36</v>
      </c>
      <c r="I96" s="13">
        <v>7573.5</v>
      </c>
      <c r="J96" s="13">
        <v>0</v>
      </c>
      <c r="K96" s="13">
        <v>46148.18</v>
      </c>
    </row>
    <row r="97" spans="1:19" x14ac:dyDescent="0.35">
      <c r="B97" s="1" t="s">
        <v>128</v>
      </c>
      <c r="D97" s="82">
        <v>0</v>
      </c>
      <c r="E97" s="13">
        <v>0</v>
      </c>
      <c r="F97" s="13">
        <v>0</v>
      </c>
      <c r="G97" s="13">
        <v>0</v>
      </c>
      <c r="H97" s="13">
        <v>0</v>
      </c>
      <c r="I97" s="13">
        <v>15140</v>
      </c>
      <c r="J97" s="13">
        <v>0</v>
      </c>
      <c r="K97" s="13">
        <v>46148.18</v>
      </c>
    </row>
    <row r="98" spans="1:19" ht="7.9" customHeight="1" x14ac:dyDescent="0.35">
      <c r="D98" s="47"/>
      <c r="E98" s="47"/>
      <c r="F98" s="47"/>
      <c r="G98" s="13"/>
      <c r="H98" s="13"/>
      <c r="K98" s="13"/>
    </row>
    <row r="99" spans="1:19" x14ac:dyDescent="0.35">
      <c r="B99" s="1" t="s">
        <v>71</v>
      </c>
      <c r="D99" s="82">
        <v>38432.04</v>
      </c>
      <c r="E99" s="13">
        <v>44284.86</v>
      </c>
      <c r="F99" s="13">
        <v>38773.449999999997</v>
      </c>
      <c r="G99" s="13">
        <v>17928.84</v>
      </c>
      <c r="H99" s="13">
        <v>35042.36</v>
      </c>
      <c r="I99" s="13">
        <v>38646.43</v>
      </c>
      <c r="J99" s="13">
        <v>38872.120000000003</v>
      </c>
      <c r="K99" s="13">
        <f>37064.48+19063.22</f>
        <v>56127.700000000004</v>
      </c>
    </row>
    <row r="100" spans="1:19" x14ac:dyDescent="0.35">
      <c r="B100" s="1" t="s">
        <v>122</v>
      </c>
      <c r="D100" s="82">
        <v>16844.16</v>
      </c>
      <c r="E100" s="13">
        <v>8269.9699999999993</v>
      </c>
      <c r="F100" s="13">
        <v>15337.17</v>
      </c>
      <c r="G100" s="13">
        <v>12754.34</v>
      </c>
      <c r="H100" s="13">
        <v>1057.8499999999999</v>
      </c>
      <c r="I100" s="13">
        <v>13866.47</v>
      </c>
      <c r="J100" s="13">
        <v>25128.03</v>
      </c>
      <c r="K100" s="13">
        <v>0</v>
      </c>
    </row>
    <row r="101" spans="1:19" x14ac:dyDescent="0.35">
      <c r="B101" s="1" t="s">
        <v>123</v>
      </c>
      <c r="D101" s="82">
        <v>6500</v>
      </c>
      <c r="E101" s="13">
        <v>3550</v>
      </c>
      <c r="F101" s="13">
        <v>5470</v>
      </c>
      <c r="G101" s="13">
        <v>5550</v>
      </c>
      <c r="H101" s="13">
        <f>50130+850</f>
        <v>50980</v>
      </c>
      <c r="I101" s="13">
        <v>1280</v>
      </c>
      <c r="J101" s="13">
        <v>41695</v>
      </c>
      <c r="K101" s="13">
        <v>0</v>
      </c>
    </row>
    <row r="102" spans="1:19" x14ac:dyDescent="0.35">
      <c r="B102" s="1" t="s">
        <v>139</v>
      </c>
      <c r="D102" s="82">
        <v>3510</v>
      </c>
      <c r="E102" s="13">
        <v>2100</v>
      </c>
      <c r="F102" s="13">
        <v>2000</v>
      </c>
      <c r="G102" s="13">
        <v>2150</v>
      </c>
      <c r="H102" s="13">
        <v>0</v>
      </c>
      <c r="K102" s="13"/>
    </row>
    <row r="103" spans="1:19" ht="9" customHeight="1" x14ac:dyDescent="0.35">
      <c r="D103" s="47"/>
      <c r="E103" s="47"/>
      <c r="F103" s="47"/>
      <c r="G103" s="47"/>
      <c r="H103" s="47"/>
      <c r="K103" s="13"/>
    </row>
    <row r="104" spans="1:19" s="18" customFormat="1" x14ac:dyDescent="0.35">
      <c r="B104" s="20"/>
      <c r="C104" s="20" t="s">
        <v>98</v>
      </c>
      <c r="D104" s="19">
        <f t="shared" ref="D104:K104" si="32">SUM(D95:D103)</f>
        <v>65286.2</v>
      </c>
      <c r="E104" s="19">
        <f t="shared" ref="E104" si="33">SUM(E95:E103)</f>
        <v>58204.83</v>
      </c>
      <c r="F104" s="19">
        <f t="shared" si="32"/>
        <v>149557.32</v>
      </c>
      <c r="G104" s="19">
        <f t="shared" si="32"/>
        <v>38383.18</v>
      </c>
      <c r="H104" s="19">
        <f t="shared" si="32"/>
        <v>89200.57</v>
      </c>
      <c r="I104" s="19">
        <f t="shared" si="32"/>
        <v>76506.399999999994</v>
      </c>
      <c r="J104" s="19">
        <f t="shared" si="32"/>
        <v>105695.15</v>
      </c>
      <c r="K104" s="19">
        <f t="shared" si="32"/>
        <v>148424.06</v>
      </c>
      <c r="L104" s="19"/>
      <c r="M104" s="19">
        <f>SUM(M89:M103)</f>
        <v>0</v>
      </c>
      <c r="P104" s="56"/>
      <c r="Q104" s="56"/>
      <c r="R104" s="56"/>
      <c r="S104" s="56"/>
    </row>
    <row r="105" spans="1:19" x14ac:dyDescent="0.35">
      <c r="A105" s="18"/>
      <c r="D105" s="47"/>
      <c r="E105" s="47"/>
      <c r="F105" s="47"/>
      <c r="G105" s="47"/>
      <c r="H105" s="47"/>
      <c r="K105" s="13"/>
    </row>
    <row r="106" spans="1:19" s="4" customFormat="1" x14ac:dyDescent="0.35">
      <c r="B106" s="30" t="s">
        <v>80</v>
      </c>
      <c r="C106" s="30"/>
      <c r="D106" s="40">
        <f t="shared" ref="D106:F106" si="34">SUM(D104,D93,D88,D77)</f>
        <v>952947.75000000012</v>
      </c>
      <c r="E106" s="40">
        <f t="shared" ref="E106" si="35">SUM(E104,E93,E88,E77)</f>
        <v>1076903.2400000002</v>
      </c>
      <c r="F106" s="40">
        <f t="shared" si="34"/>
        <v>1246599.33</v>
      </c>
      <c r="G106" s="40">
        <f t="shared" ref="G106:K106" si="36">SUM(G104,G93,G88,G77)</f>
        <v>1167264.42</v>
      </c>
      <c r="H106" s="40">
        <f t="shared" si="36"/>
        <v>1220604.07</v>
      </c>
      <c r="I106" s="40">
        <f t="shared" si="36"/>
        <v>1232983.6000000001</v>
      </c>
      <c r="J106" s="40">
        <f t="shared" si="36"/>
        <v>1329327.25</v>
      </c>
      <c r="K106" s="40">
        <f t="shared" si="36"/>
        <v>1324486.3800000001</v>
      </c>
      <c r="L106" s="30"/>
      <c r="M106" s="40">
        <f>SUM(M104,M92,M84,M72)</f>
        <v>0</v>
      </c>
      <c r="P106" s="57" t="s">
        <v>97</v>
      </c>
      <c r="Q106" s="69">
        <f>+D106-D59</f>
        <v>0</v>
      </c>
      <c r="R106" s="58">
        <f>+I106-I59</f>
        <v>0</v>
      </c>
      <c r="S106" s="58">
        <f>+J106-J59</f>
        <v>0</v>
      </c>
    </row>
    <row r="107" spans="1:19" x14ac:dyDescent="0.35">
      <c r="D107" s="47"/>
      <c r="E107" s="47"/>
      <c r="F107" s="47"/>
      <c r="G107" s="47"/>
      <c r="H107" s="47"/>
      <c r="K107" s="13"/>
      <c r="P107" s="57"/>
    </row>
    <row r="108" spans="1:19" s="4" customFormat="1" x14ac:dyDescent="0.35">
      <c r="B108" s="3" t="s">
        <v>65</v>
      </c>
      <c r="C108" s="3"/>
      <c r="D108" s="49"/>
      <c r="E108" s="49"/>
      <c r="F108" s="49"/>
      <c r="G108" s="49"/>
      <c r="H108" s="49"/>
      <c r="I108" s="37"/>
      <c r="J108" s="37"/>
      <c r="K108" s="37"/>
      <c r="L108" s="3"/>
      <c r="M108" s="3"/>
      <c r="P108" s="59"/>
      <c r="Q108" s="56"/>
      <c r="R108" s="56"/>
      <c r="S108" s="56"/>
    </row>
    <row r="109" spans="1:19" x14ac:dyDescent="0.35">
      <c r="B109" s="1" t="s">
        <v>66</v>
      </c>
      <c r="D109" s="82">
        <f>+D62</f>
        <v>107407.11</v>
      </c>
      <c r="E109" s="13">
        <f>+E62</f>
        <v>105267.37</v>
      </c>
      <c r="F109" s="13">
        <f>+F62</f>
        <v>101956.47</v>
      </c>
      <c r="G109" s="13">
        <f>+G62</f>
        <v>108449.5</v>
      </c>
      <c r="H109" s="13">
        <v>107303.67999999999</v>
      </c>
      <c r="I109" s="13">
        <v>106927.32</v>
      </c>
      <c r="J109" s="13">
        <v>102566.28</v>
      </c>
      <c r="K109" s="13">
        <v>107734.22</v>
      </c>
      <c r="P109" s="57"/>
    </row>
    <row r="110" spans="1:19" x14ac:dyDescent="0.35">
      <c r="B110" s="1" t="s">
        <v>67</v>
      </c>
      <c r="D110" s="82">
        <f t="shared" ref="D110:G112" si="37">+D63</f>
        <v>184908.19</v>
      </c>
      <c r="E110" s="13">
        <f t="shared" ref="E110" si="38">+E63</f>
        <v>177138.46</v>
      </c>
      <c r="F110" s="13">
        <f t="shared" ref="F110" si="39">+F63</f>
        <v>168348.09</v>
      </c>
      <c r="G110" s="13">
        <f t="shared" si="37"/>
        <v>187213.38</v>
      </c>
      <c r="H110" s="13">
        <v>184089.31</v>
      </c>
      <c r="I110" s="13">
        <v>181370.87</v>
      </c>
      <c r="J110" s="13">
        <v>174870.87</v>
      </c>
      <c r="K110" s="13">
        <v>182869.69</v>
      </c>
      <c r="P110" s="57"/>
    </row>
    <row r="111" spans="1:19" x14ac:dyDescent="0.35">
      <c r="B111" s="1" t="s">
        <v>68</v>
      </c>
      <c r="D111" s="82">
        <f t="shared" si="37"/>
        <v>80000</v>
      </c>
      <c r="E111" s="13">
        <f t="shared" ref="E111" si="40">+E64</f>
        <v>80000</v>
      </c>
      <c r="F111" s="13">
        <f t="shared" ref="F111" si="41">+F64</f>
        <v>80000</v>
      </c>
      <c r="G111" s="13">
        <f t="shared" si="37"/>
        <v>80000</v>
      </c>
      <c r="H111" s="13">
        <v>80000</v>
      </c>
      <c r="I111" s="13">
        <v>80000</v>
      </c>
      <c r="J111" s="13">
        <v>80000</v>
      </c>
      <c r="K111" s="13">
        <v>80000</v>
      </c>
      <c r="P111" s="57"/>
    </row>
    <row r="112" spans="1:19" x14ac:dyDescent="0.35">
      <c r="B112" s="1" t="s">
        <v>130</v>
      </c>
      <c r="D112" s="82">
        <f t="shared" si="37"/>
        <v>0</v>
      </c>
      <c r="E112" s="13">
        <f t="shared" ref="E112" si="42">+E65</f>
        <v>0</v>
      </c>
      <c r="F112" s="13">
        <f t="shared" ref="F112" si="43">+F65</f>
        <v>0</v>
      </c>
      <c r="G112" s="13">
        <f t="shared" si="37"/>
        <v>0</v>
      </c>
      <c r="H112" s="13">
        <v>15117.67</v>
      </c>
      <c r="K112" s="13"/>
      <c r="P112" s="57"/>
    </row>
    <row r="113" spans="1:19" ht="9" customHeight="1" x14ac:dyDescent="0.35">
      <c r="H113" s="53"/>
      <c r="I113" s="1"/>
      <c r="J113" s="1"/>
      <c r="P113" s="57"/>
    </row>
    <row r="114" spans="1:19" s="18" customFormat="1" x14ac:dyDescent="0.35">
      <c r="B114" s="20"/>
      <c r="C114" s="20" t="s">
        <v>88</v>
      </c>
      <c r="D114" s="19">
        <f t="shared" ref="D114:F114" si="44">SUM(D108:D112)</f>
        <v>372315.3</v>
      </c>
      <c r="E114" s="19">
        <f t="shared" ref="E114" si="45">SUM(E108:E112)</f>
        <v>362405.82999999996</v>
      </c>
      <c r="F114" s="19">
        <f t="shared" si="44"/>
        <v>350304.56</v>
      </c>
      <c r="G114" s="19">
        <f t="shared" ref="G114:K114" si="46">SUM(G108:G112)</f>
        <v>375662.88</v>
      </c>
      <c r="H114" s="19">
        <f t="shared" si="46"/>
        <v>386510.66</v>
      </c>
      <c r="I114" s="19">
        <f t="shared" si="46"/>
        <v>368298.19</v>
      </c>
      <c r="J114" s="19">
        <f t="shared" si="46"/>
        <v>357437.15</v>
      </c>
      <c r="K114" s="19">
        <f t="shared" si="46"/>
        <v>370603.91000000003</v>
      </c>
      <c r="L114" s="19"/>
      <c r="M114" s="19">
        <f>SUM(M105:M113)</f>
        <v>0</v>
      </c>
      <c r="P114" s="59"/>
      <c r="Q114" s="56"/>
      <c r="R114" s="56"/>
      <c r="S114" s="56"/>
    </row>
    <row r="115" spans="1:19" s="11" customFormat="1" ht="19.5" x14ac:dyDescent="0.35">
      <c r="A115" s="1"/>
      <c r="D115" s="54"/>
      <c r="E115" s="54"/>
      <c r="F115" s="54"/>
      <c r="G115" s="54"/>
      <c r="H115" s="54"/>
      <c r="I115" s="39"/>
      <c r="J115" s="39"/>
      <c r="K115" s="39"/>
      <c r="P115" s="60"/>
      <c r="Q115" s="61"/>
      <c r="R115" s="61"/>
      <c r="S115" s="61"/>
    </row>
    <row r="116" spans="1:19" s="18" customFormat="1" x14ac:dyDescent="0.35">
      <c r="B116" s="41" t="s">
        <v>69</v>
      </c>
      <c r="C116" s="41"/>
      <c r="D116" s="42">
        <f t="shared" ref="D116:F116" si="47">SUM(D106,D114)</f>
        <v>1325263.05</v>
      </c>
      <c r="E116" s="42">
        <f t="shared" ref="E116" si="48">SUM(E106,E114)</f>
        <v>1439309.0700000003</v>
      </c>
      <c r="F116" s="42">
        <f t="shared" si="47"/>
        <v>1596903.8900000001</v>
      </c>
      <c r="G116" s="42">
        <f t="shared" ref="G116:K116" si="49">SUM(G106,G114)</f>
        <v>1542927.2999999998</v>
      </c>
      <c r="H116" s="42">
        <f t="shared" si="49"/>
        <v>1607114.73</v>
      </c>
      <c r="I116" s="42">
        <f t="shared" si="49"/>
        <v>1601281.79</v>
      </c>
      <c r="J116" s="42">
        <f t="shared" si="49"/>
        <v>1686764.4</v>
      </c>
      <c r="K116" s="42">
        <f t="shared" si="49"/>
        <v>1695090.29</v>
      </c>
      <c r="L116" s="41"/>
      <c r="M116" s="42">
        <f>SUM(M114,M104,M95,M81)</f>
        <v>0</v>
      </c>
      <c r="P116" s="57" t="s">
        <v>97</v>
      </c>
      <c r="Q116" s="69">
        <f>+D116-D69</f>
        <v>0</v>
      </c>
      <c r="R116" s="58">
        <f>+I116-I69</f>
        <v>0</v>
      </c>
      <c r="S116" s="58">
        <f>+J116-J69</f>
        <v>0</v>
      </c>
    </row>
    <row r="119" spans="1:19" x14ac:dyDescent="0.35">
      <c r="D119" s="78">
        <f t="shared" ref="D119:J119" si="50">+D116-D69</f>
        <v>0</v>
      </c>
      <c r="E119" s="78">
        <f t="shared" ref="E119" si="51">+E116-E69</f>
        <v>0</v>
      </c>
      <c r="F119" s="78">
        <f t="shared" si="50"/>
        <v>0</v>
      </c>
      <c r="G119" s="78">
        <f t="shared" si="50"/>
        <v>0</v>
      </c>
      <c r="H119" s="78">
        <f t="shared" si="50"/>
        <v>0</v>
      </c>
      <c r="I119" s="78">
        <f t="shared" si="50"/>
        <v>0</v>
      </c>
      <c r="J119" s="78">
        <f t="shared" si="50"/>
        <v>0</v>
      </c>
      <c r="K119" s="78"/>
    </row>
  </sheetData>
  <dataConsolidate/>
  <mergeCells count="1">
    <mergeCell ref="B11:C11"/>
  </mergeCells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7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I110"/>
  <sheetViews>
    <sheetView showGridLines="0" view="pageBreakPreview" topLeftCell="A37" zoomScale="110" zoomScaleNormal="100" zoomScaleSheetLayoutView="110" workbookViewId="0">
      <selection activeCell="G112" sqref="G112"/>
    </sheetView>
  </sheetViews>
  <sheetFormatPr defaultColWidth="8.7109375" defaultRowHeight="18" outlineLevelRow="1" x14ac:dyDescent="0.35"/>
  <cols>
    <col min="1" max="1" width="5.7109375" style="1" customWidth="1"/>
    <col min="2" max="2" width="48.7109375" style="1" customWidth="1"/>
    <col min="3" max="3" width="16.140625" style="1" customWidth="1"/>
    <col min="4" max="4" width="13.7109375" style="1" customWidth="1"/>
    <col min="5" max="8" width="18.7109375" style="53" customWidth="1"/>
    <col min="9" max="9" width="16.140625" style="1" customWidth="1"/>
    <col min="10" max="16384" width="8.7109375" style="1"/>
  </cols>
  <sheetData>
    <row r="11" spans="2:8" ht="31.15" customHeight="1" x14ac:dyDescent="0.35">
      <c r="B11" s="86" t="s">
        <v>160</v>
      </c>
      <c r="C11" s="86"/>
      <c r="D11" s="86"/>
      <c r="E11" s="63"/>
      <c r="F11" s="63"/>
      <c r="G11" s="63"/>
      <c r="H11" s="63"/>
    </row>
    <row r="12" spans="2:8" ht="12.4" customHeight="1" x14ac:dyDescent="0.35">
      <c r="B12" s="5"/>
      <c r="C12" s="6"/>
      <c r="D12" s="6"/>
      <c r="E12" s="64"/>
      <c r="F12" s="64"/>
      <c r="G12" s="64"/>
      <c r="H12" s="64"/>
    </row>
    <row r="13" spans="2:8" ht="33" customHeight="1" x14ac:dyDescent="0.35">
      <c r="B13" s="7"/>
      <c r="C13" s="8"/>
      <c r="D13" s="8"/>
      <c r="E13" s="9" t="s">
        <v>158</v>
      </c>
      <c r="F13" s="9" t="s">
        <v>154</v>
      </c>
      <c r="G13" s="9" t="s">
        <v>150</v>
      </c>
      <c r="H13" s="9" t="s">
        <v>135</v>
      </c>
    </row>
    <row r="14" spans="2:8" ht="12.4" customHeight="1" x14ac:dyDescent="0.35"/>
    <row r="15" spans="2:8" x14ac:dyDescent="0.35">
      <c r="B15" s="30" t="s">
        <v>7</v>
      </c>
      <c r="C15" s="2"/>
      <c r="D15" s="2"/>
      <c r="E15" s="65"/>
      <c r="F15" s="65"/>
      <c r="G15" s="65"/>
      <c r="H15" s="65"/>
    </row>
    <row r="16" spans="2:8" s="4" customFormat="1" x14ac:dyDescent="0.35">
      <c r="B16" s="3" t="s">
        <v>8</v>
      </c>
      <c r="C16" s="3"/>
      <c r="D16" s="3"/>
      <c r="E16" s="66"/>
      <c r="F16" s="66"/>
      <c r="G16" s="66"/>
      <c r="H16" s="70"/>
    </row>
    <row r="17" spans="2:8" x14ac:dyDescent="0.35">
      <c r="B17" s="1" t="s">
        <v>0</v>
      </c>
      <c r="E17" s="14">
        <v>1536780</v>
      </c>
      <c r="F17" s="14">
        <v>1611410</v>
      </c>
      <c r="G17" s="14">
        <v>1583678.24</v>
      </c>
      <c r="H17" s="14">
        <v>1570500</v>
      </c>
    </row>
    <row r="18" spans="2:8" x14ac:dyDescent="0.35">
      <c r="B18" s="1" t="s">
        <v>2</v>
      </c>
      <c r="E18" s="14">
        <v>92000</v>
      </c>
      <c r="F18" s="14">
        <v>94960</v>
      </c>
      <c r="G18" s="14">
        <v>94530</v>
      </c>
      <c r="H18" s="14">
        <v>91770</v>
      </c>
    </row>
    <row r="19" spans="2:8" x14ac:dyDescent="0.35">
      <c r="B19" s="1" t="s">
        <v>140</v>
      </c>
      <c r="E19" s="14">
        <v>102550</v>
      </c>
      <c r="F19" s="14">
        <v>106400</v>
      </c>
      <c r="G19" s="14">
        <v>99050</v>
      </c>
      <c r="H19" s="14">
        <v>87500</v>
      </c>
    </row>
    <row r="20" spans="2:8" x14ac:dyDescent="0.35">
      <c r="B20" s="1" t="s">
        <v>1</v>
      </c>
      <c r="E20" s="14">
        <v>23750</v>
      </c>
      <c r="F20" s="14">
        <v>25550</v>
      </c>
      <c r="G20" s="14">
        <v>18900</v>
      </c>
      <c r="H20" s="14">
        <v>25200</v>
      </c>
    </row>
    <row r="21" spans="2:8" x14ac:dyDescent="0.35">
      <c r="B21" s="1" t="s">
        <v>4</v>
      </c>
      <c r="E21" s="14">
        <v>6360</v>
      </c>
      <c r="F21" s="14">
        <v>7540</v>
      </c>
      <c r="G21" s="14">
        <v>8580</v>
      </c>
      <c r="H21" s="14">
        <v>8840</v>
      </c>
    </row>
    <row r="22" spans="2:8" x14ac:dyDescent="0.35">
      <c r="B22" s="1" t="s">
        <v>12</v>
      </c>
      <c r="E22" s="14">
        <v>62840</v>
      </c>
      <c r="F22" s="14">
        <v>69400</v>
      </c>
      <c r="G22" s="14">
        <v>52000</v>
      </c>
      <c r="H22" s="14">
        <v>81600</v>
      </c>
    </row>
    <row r="23" spans="2:8" x14ac:dyDescent="0.35">
      <c r="B23" s="1" t="s">
        <v>143</v>
      </c>
      <c r="E23" s="14">
        <f>25730+14880</f>
        <v>40610</v>
      </c>
      <c r="F23" s="14">
        <f>35100+20000</f>
        <v>55100</v>
      </c>
      <c r="G23" s="14">
        <f>23700+20080</f>
        <v>43780</v>
      </c>
      <c r="H23" s="14">
        <f>27300+16800</f>
        <v>44100</v>
      </c>
    </row>
    <row r="24" spans="2:8" ht="9" customHeight="1" x14ac:dyDescent="0.35">
      <c r="B24" s="12"/>
      <c r="E24" s="67"/>
      <c r="F24" s="67"/>
      <c r="G24" s="67"/>
      <c r="H24" s="24"/>
    </row>
    <row r="25" spans="2:8" s="18" customFormat="1" x14ac:dyDescent="0.35">
      <c r="B25" s="20"/>
      <c r="C25" s="20" t="s">
        <v>46</v>
      </c>
      <c r="D25" s="17"/>
      <c r="E25" s="19">
        <f>SUM(E17:E23)</f>
        <v>1864890</v>
      </c>
      <c r="F25" s="19">
        <f>SUM(F17:F24)</f>
        <v>1970360</v>
      </c>
      <c r="G25" s="19">
        <f>SUM(G17:G24)</f>
        <v>1900518.24</v>
      </c>
      <c r="H25" s="19">
        <f>SUM(H17:H24)</f>
        <v>1909510</v>
      </c>
    </row>
    <row r="26" spans="2:8" ht="9" customHeight="1" x14ac:dyDescent="0.35"/>
    <row r="27" spans="2:8" x14ac:dyDescent="0.35">
      <c r="B27" s="12" t="s">
        <v>13</v>
      </c>
      <c r="E27" s="74">
        <v>-479030</v>
      </c>
      <c r="F27" s="74">
        <v>-473030</v>
      </c>
      <c r="G27" s="74">
        <v>-468705</v>
      </c>
      <c r="H27" s="74">
        <f>-457230</f>
        <v>-457230</v>
      </c>
    </row>
    <row r="28" spans="2:8" ht="9" customHeight="1" x14ac:dyDescent="0.35">
      <c r="B28" s="12"/>
      <c r="E28" s="67"/>
      <c r="F28" s="67"/>
      <c r="G28" s="67"/>
      <c r="H28" s="67"/>
    </row>
    <row r="29" spans="2:8" s="18" customFormat="1" x14ac:dyDescent="0.35">
      <c r="B29" s="20"/>
      <c r="C29" s="20" t="s">
        <v>42</v>
      </c>
      <c r="D29" s="17"/>
      <c r="E29" s="19">
        <f t="shared" ref="E29:H29" si="0">SUM(E25:E28)</f>
        <v>1385860</v>
      </c>
      <c r="F29" s="19">
        <f t="shared" ref="F29" si="1">SUM(F25:F28)</f>
        <v>1497330</v>
      </c>
      <c r="G29" s="19">
        <f t="shared" si="0"/>
        <v>1431813.24</v>
      </c>
      <c r="H29" s="19">
        <f t="shared" si="0"/>
        <v>1452280</v>
      </c>
    </row>
    <row r="30" spans="2:8" x14ac:dyDescent="0.35">
      <c r="E30" s="47"/>
      <c r="F30" s="47"/>
      <c r="G30" s="47"/>
      <c r="H30" s="47"/>
    </row>
    <row r="31" spans="2:8" s="4" customFormat="1" x14ac:dyDescent="0.35">
      <c r="B31" s="3" t="s">
        <v>48</v>
      </c>
      <c r="C31" s="3"/>
      <c r="D31" s="3"/>
      <c r="E31" s="66"/>
      <c r="F31" s="66"/>
      <c r="G31" s="66"/>
      <c r="H31" s="66"/>
    </row>
    <row r="32" spans="2:8" ht="34.15" customHeight="1" x14ac:dyDescent="0.35">
      <c r="B32" s="87" t="s">
        <v>33</v>
      </c>
      <c r="C32" s="87"/>
      <c r="D32" s="87"/>
      <c r="E32" s="14">
        <v>4953.2</v>
      </c>
      <c r="F32" s="14">
        <v>3320.66</v>
      </c>
      <c r="G32" s="14">
        <v>7172.52</v>
      </c>
      <c r="H32" s="14">
        <f>8515.9+560</f>
        <v>9075.9</v>
      </c>
    </row>
    <row r="33" spans="2:8" ht="18" customHeight="1" x14ac:dyDescent="0.35">
      <c r="B33" s="87" t="s">
        <v>99</v>
      </c>
      <c r="C33" s="87"/>
      <c r="D33" s="87"/>
      <c r="E33" s="14">
        <f>-E32+5913.2</f>
        <v>960</v>
      </c>
      <c r="F33" s="14">
        <f>-F32+4000.66</f>
        <v>680</v>
      </c>
      <c r="G33" s="14">
        <f>520+560</f>
        <v>1080</v>
      </c>
      <c r="H33" s="14">
        <v>340</v>
      </c>
    </row>
    <row r="34" spans="2:8" ht="9" customHeight="1" x14ac:dyDescent="0.35">
      <c r="B34" s="31"/>
      <c r="C34" s="31"/>
      <c r="D34" s="31"/>
      <c r="E34" s="62"/>
      <c r="F34" s="62"/>
      <c r="G34" s="62"/>
      <c r="H34" s="62"/>
    </row>
    <row r="35" spans="2:8" s="18" customFormat="1" x14ac:dyDescent="0.35">
      <c r="B35" s="20"/>
      <c r="C35" s="20" t="s">
        <v>49</v>
      </c>
      <c r="D35" s="17"/>
      <c r="E35" s="19">
        <f>SUM(E32:E34)</f>
        <v>5913.2</v>
      </c>
      <c r="F35" s="19">
        <f>SUM(F32:F34)</f>
        <v>4000.66</v>
      </c>
      <c r="G35" s="19">
        <f>SUM(G32:G34)</f>
        <v>8252.52</v>
      </c>
      <c r="H35" s="19">
        <f>SUM(H32:H34)</f>
        <v>9415.9</v>
      </c>
    </row>
    <row r="36" spans="2:8" x14ac:dyDescent="0.35">
      <c r="E36" s="47"/>
      <c r="F36" s="47"/>
      <c r="G36" s="47"/>
      <c r="H36" s="47"/>
    </row>
    <row r="37" spans="2:8" x14ac:dyDescent="0.35">
      <c r="E37" s="47"/>
      <c r="F37" s="47"/>
      <c r="G37" s="47"/>
      <c r="H37" s="47"/>
    </row>
    <row r="38" spans="2:8" s="11" customFormat="1" ht="18.75" x14ac:dyDescent="0.3">
      <c r="B38" s="26" t="s">
        <v>47</v>
      </c>
      <c r="C38" s="16"/>
      <c r="D38" s="10"/>
      <c r="E38" s="15">
        <f t="shared" ref="E38:G38" si="2">SUM(E29,E35)</f>
        <v>1391773.2</v>
      </c>
      <c r="F38" s="15">
        <f t="shared" ref="F38" si="3">SUM(F29,F35)</f>
        <v>1501330.66</v>
      </c>
      <c r="G38" s="15">
        <f t="shared" si="2"/>
        <v>1440065.76</v>
      </c>
      <c r="H38" s="15">
        <f t="shared" ref="H38" si="4">SUM(H29,H35)</f>
        <v>1461695.9</v>
      </c>
    </row>
    <row r="41" spans="2:8" x14ac:dyDescent="0.35">
      <c r="B41" s="30" t="s">
        <v>9</v>
      </c>
      <c r="C41" s="2"/>
      <c r="D41" s="2"/>
      <c r="E41" s="65"/>
      <c r="F41" s="65"/>
      <c r="G41" s="65"/>
      <c r="H41" s="65"/>
    </row>
    <row r="42" spans="2:8" s="4" customFormat="1" x14ac:dyDescent="0.35">
      <c r="B42" s="3" t="s">
        <v>10</v>
      </c>
      <c r="C42" s="3"/>
      <c r="D42" s="3"/>
      <c r="E42" s="66"/>
      <c r="F42" s="66"/>
      <c r="G42" s="66"/>
      <c r="H42" s="66"/>
    </row>
    <row r="43" spans="2:8" x14ac:dyDescent="0.35">
      <c r="B43" s="1" t="s">
        <v>152</v>
      </c>
      <c r="E43" s="74">
        <f>497776.13+E110</f>
        <v>524705.24</v>
      </c>
      <c r="F43" s="74">
        <f>510251.38+F110</f>
        <v>535449.87</v>
      </c>
      <c r="G43" s="74">
        <f>481941.08+35763.85</f>
        <v>517704.93</v>
      </c>
      <c r="H43" s="74">
        <f>454451.03+26538.12</f>
        <v>480989.15</v>
      </c>
    </row>
    <row r="44" spans="2:8" x14ac:dyDescent="0.35">
      <c r="B44" s="1" t="s">
        <v>37</v>
      </c>
      <c r="E44" s="74">
        <v>47183.5</v>
      </c>
      <c r="F44" s="74">
        <v>14180.64</v>
      </c>
      <c r="G44" s="74">
        <v>22338.9</v>
      </c>
      <c r="H44" s="74">
        <v>11176.16</v>
      </c>
    </row>
    <row r="45" spans="2:8" x14ac:dyDescent="0.35">
      <c r="B45" s="1" t="s">
        <v>19</v>
      </c>
      <c r="E45" s="74">
        <v>107141.43</v>
      </c>
      <c r="F45" s="74">
        <v>116112.21</v>
      </c>
      <c r="G45" s="74">
        <v>108945.91</v>
      </c>
      <c r="H45" s="74">
        <f>93638.78+8980+4348.91</f>
        <v>106967.69</v>
      </c>
    </row>
    <row r="46" spans="2:8" x14ac:dyDescent="0.35">
      <c r="B46" s="1" t="s">
        <v>20</v>
      </c>
      <c r="E46" s="74">
        <v>62457.96</v>
      </c>
      <c r="F46" s="74">
        <f>-F49+83973.17</f>
        <v>82692.17</v>
      </c>
      <c r="G46" s="74">
        <f>36387.04-G49</f>
        <v>35227.040000000001</v>
      </c>
      <c r="H46" s="74">
        <f>9969+35213.17+420</f>
        <v>45602.17</v>
      </c>
    </row>
    <row r="47" spans="2:8" x14ac:dyDescent="0.35">
      <c r="B47" s="1" t="s">
        <v>14</v>
      </c>
      <c r="E47" s="74">
        <v>76636.740000000005</v>
      </c>
      <c r="F47" s="74">
        <v>82420.320000000007</v>
      </c>
      <c r="G47" s="74">
        <v>59852</v>
      </c>
      <c r="H47" s="74">
        <v>58592.6</v>
      </c>
    </row>
    <row r="48" spans="2:8" x14ac:dyDescent="0.35">
      <c r="B48" s="1" t="s">
        <v>32</v>
      </c>
      <c r="E48" s="74">
        <f>37103.59+18024.65</f>
        <v>55128.24</v>
      </c>
      <c r="F48" s="74">
        <f>49707.46+29843.4</f>
        <v>79550.86</v>
      </c>
      <c r="G48" s="74">
        <f>39389.35+12787.43</f>
        <v>52176.78</v>
      </c>
      <c r="H48" s="74">
        <f>9743.53+50885.13</f>
        <v>60628.659999999996</v>
      </c>
    </row>
    <row r="49" spans="2:8" x14ac:dyDescent="0.35">
      <c r="B49" s="1" t="s">
        <v>114</v>
      </c>
      <c r="E49" s="74">
        <v>0</v>
      </c>
      <c r="F49" s="74">
        <v>1281</v>
      </c>
      <c r="G49" s="74">
        <v>1160</v>
      </c>
      <c r="H49" s="74">
        <v>0</v>
      </c>
    </row>
    <row r="50" spans="2:8" x14ac:dyDescent="0.35">
      <c r="B50" s="1" t="s">
        <v>15</v>
      </c>
      <c r="E50" s="74">
        <v>11794.9</v>
      </c>
      <c r="F50" s="74">
        <v>10124.049999999999</v>
      </c>
      <c r="G50" s="74">
        <v>18225.41</v>
      </c>
      <c r="H50" s="74">
        <v>18699.38</v>
      </c>
    </row>
    <row r="51" spans="2:8" x14ac:dyDescent="0.35">
      <c r="B51" s="1" t="s">
        <v>16</v>
      </c>
      <c r="E51" s="74">
        <v>11839.41</v>
      </c>
      <c r="F51" s="74">
        <v>10658.92</v>
      </c>
      <c r="G51" s="74">
        <v>13221.67</v>
      </c>
      <c r="H51" s="74">
        <v>8806.2800000000007</v>
      </c>
    </row>
    <row r="52" spans="2:8" x14ac:dyDescent="0.35">
      <c r="B52" s="1" t="s">
        <v>17</v>
      </c>
      <c r="E52" s="74">
        <v>33540.53</v>
      </c>
      <c r="F52" s="74">
        <v>32661.599999999999</v>
      </c>
      <c r="G52" s="74">
        <v>32391.65</v>
      </c>
      <c r="H52" s="74">
        <f>8780.07+14540.52</f>
        <v>23320.59</v>
      </c>
    </row>
    <row r="53" spans="2:8" x14ac:dyDescent="0.35">
      <c r="B53" s="1" t="s">
        <v>23</v>
      </c>
      <c r="E53" s="74">
        <v>46418.84</v>
      </c>
      <c r="F53" s="74">
        <v>59832.45</v>
      </c>
      <c r="G53" s="74">
        <v>49728.44</v>
      </c>
      <c r="H53" s="74">
        <v>46576.93</v>
      </c>
    </row>
    <row r="54" spans="2:8" x14ac:dyDescent="0.35">
      <c r="B54" s="1" t="s">
        <v>38</v>
      </c>
      <c r="E54" s="74">
        <v>7210.93</v>
      </c>
      <c r="F54" s="74">
        <v>6748.27</v>
      </c>
      <c r="G54" s="74">
        <v>6663.38</v>
      </c>
      <c r="H54" s="74">
        <v>6420.49</v>
      </c>
    </row>
    <row r="55" spans="2:8" x14ac:dyDescent="0.35">
      <c r="B55" s="1" t="s">
        <v>26</v>
      </c>
      <c r="E55" s="74">
        <v>18625.55</v>
      </c>
      <c r="F55" s="74">
        <v>17345.25</v>
      </c>
      <c r="G55" s="74">
        <v>16887.3</v>
      </c>
      <c r="H55" s="74">
        <v>14123.61</v>
      </c>
    </row>
    <row r="56" spans="2:8" x14ac:dyDescent="0.35">
      <c r="B56" s="1" t="s">
        <v>27</v>
      </c>
      <c r="E56" s="74">
        <v>4685.93</v>
      </c>
      <c r="F56" s="74">
        <v>3309</v>
      </c>
      <c r="G56" s="74">
        <v>3270</v>
      </c>
      <c r="H56" s="74">
        <v>3915.5</v>
      </c>
    </row>
    <row r="57" spans="2:8" x14ac:dyDescent="0.35">
      <c r="B57" s="1" t="s">
        <v>141</v>
      </c>
      <c r="E57" s="74">
        <v>0</v>
      </c>
      <c r="F57" s="74">
        <v>153.49</v>
      </c>
      <c r="G57" s="74">
        <v>2795.65</v>
      </c>
      <c r="H57" s="74">
        <v>4269.41</v>
      </c>
    </row>
    <row r="58" spans="2:8" ht="9" customHeight="1" x14ac:dyDescent="0.35">
      <c r="E58" s="47"/>
      <c r="F58" s="47"/>
      <c r="G58" s="47"/>
      <c r="H58" s="47"/>
    </row>
    <row r="59" spans="2:8" s="18" customFormat="1" x14ac:dyDescent="0.35">
      <c r="B59" s="20"/>
      <c r="C59" s="20" t="s">
        <v>39</v>
      </c>
      <c r="D59" s="17"/>
      <c r="E59" s="19">
        <f>SUM(E43:E58)</f>
        <v>1007369.2000000001</v>
      </c>
      <c r="F59" s="19">
        <f>SUM(F43:F58)</f>
        <v>1052520.0999999999</v>
      </c>
      <c r="G59" s="19">
        <f>SUM(G43:G58)</f>
        <v>940589.06000000029</v>
      </c>
      <c r="H59" s="19">
        <f>SUM(H43:H58)</f>
        <v>890088.62000000011</v>
      </c>
    </row>
    <row r="60" spans="2:8" x14ac:dyDescent="0.35">
      <c r="E60" s="47"/>
      <c r="F60" s="47"/>
      <c r="G60" s="47"/>
      <c r="H60" s="47"/>
    </row>
    <row r="61" spans="2:8" s="4" customFormat="1" x14ac:dyDescent="0.35">
      <c r="B61" s="3" t="s">
        <v>11</v>
      </c>
      <c r="C61" s="3"/>
      <c r="D61" s="3"/>
      <c r="E61" s="66"/>
      <c r="F61" s="66"/>
      <c r="G61" s="66"/>
      <c r="H61" s="66"/>
    </row>
    <row r="62" spans="2:8" x14ac:dyDescent="0.35">
      <c r="B62" s="1" t="s">
        <v>18</v>
      </c>
      <c r="E62" s="74">
        <v>14576.96</v>
      </c>
      <c r="F62" s="74">
        <v>16025.92</v>
      </c>
      <c r="G62" s="74">
        <v>80785.960000000006</v>
      </c>
      <c r="H62" s="74">
        <v>46360</v>
      </c>
    </row>
    <row r="63" spans="2:8" x14ac:dyDescent="0.35">
      <c r="B63" s="1" t="s">
        <v>21</v>
      </c>
      <c r="E63" s="74">
        <v>2951.69</v>
      </c>
      <c r="F63" s="74">
        <v>2706.6</v>
      </c>
      <c r="G63" s="74">
        <v>12.9</v>
      </c>
      <c r="H63" s="74">
        <v>3600.15</v>
      </c>
    </row>
    <row r="64" spans="2:8" x14ac:dyDescent="0.35">
      <c r="B64" s="1" t="s">
        <v>30</v>
      </c>
      <c r="E64" s="74">
        <v>117015.03999999999</v>
      </c>
      <c r="F64" s="74">
        <v>141791.88</v>
      </c>
      <c r="G64" s="74">
        <v>167434.54999999999</v>
      </c>
      <c r="H64" s="74">
        <v>6496.26</v>
      </c>
    </row>
    <row r="65" spans="2:9" x14ac:dyDescent="0.35">
      <c r="B65" s="1" t="s">
        <v>22</v>
      </c>
      <c r="E65" s="74">
        <v>378641.27</v>
      </c>
      <c r="F65" s="74">
        <v>372603.01</v>
      </c>
      <c r="G65" s="74">
        <v>271884.24</v>
      </c>
      <c r="H65" s="74">
        <v>504417.89</v>
      </c>
    </row>
    <row r="66" spans="2:9" x14ac:dyDescent="0.35">
      <c r="B66" s="1" t="s">
        <v>24</v>
      </c>
      <c r="E66" s="74">
        <v>313.04000000000002</v>
      </c>
      <c r="F66" s="74">
        <v>313.04000000000002</v>
      </c>
      <c r="G66" s="74">
        <v>301</v>
      </c>
      <c r="H66" s="74">
        <v>299</v>
      </c>
    </row>
    <row r="67" spans="2:9" x14ac:dyDescent="0.35">
      <c r="B67" s="1" t="s">
        <v>29</v>
      </c>
      <c r="E67" s="74">
        <v>6213.09</v>
      </c>
      <c r="F67" s="74">
        <v>6150.45</v>
      </c>
      <c r="G67" s="74">
        <v>14859.83</v>
      </c>
      <c r="H67" s="74">
        <f>557.54+5271.62</f>
        <v>5829.16</v>
      </c>
      <c r="I67" s="13"/>
    </row>
    <row r="68" spans="2:9" x14ac:dyDescent="0.35">
      <c r="B68" s="1" t="s">
        <v>132</v>
      </c>
      <c r="E68" s="74">
        <v>0</v>
      </c>
      <c r="F68" s="74">
        <v>0</v>
      </c>
      <c r="G68" s="74">
        <v>2379</v>
      </c>
      <c r="H68" s="74">
        <v>5026.3999999999996</v>
      </c>
      <c r="I68" s="13"/>
    </row>
    <row r="69" spans="2:9" x14ac:dyDescent="0.35">
      <c r="B69" s="1" t="s">
        <v>25</v>
      </c>
      <c r="E69" s="74">
        <v>4598.72</v>
      </c>
      <c r="F69" s="74">
        <v>4198.92</v>
      </c>
      <c r="G69" s="74">
        <v>5628.59</v>
      </c>
      <c r="H69" s="74">
        <v>5520.77</v>
      </c>
    </row>
    <row r="70" spans="2:9" ht="9" customHeight="1" x14ac:dyDescent="0.35">
      <c r="E70" s="47"/>
      <c r="F70" s="47"/>
      <c r="G70" s="47"/>
      <c r="H70" s="47"/>
    </row>
    <row r="71" spans="2:9" x14ac:dyDescent="0.35">
      <c r="B71" s="20"/>
      <c r="C71" s="20" t="s">
        <v>40</v>
      </c>
      <c r="D71" s="17"/>
      <c r="E71" s="19">
        <f t="shared" ref="E71:G71" si="5">SUM(E62:E69)</f>
        <v>524309.81000000006</v>
      </c>
      <c r="F71" s="19">
        <f t="shared" ref="F71" si="6">SUM(F62:F69)</f>
        <v>543789.82000000007</v>
      </c>
      <c r="G71" s="19">
        <f t="shared" si="5"/>
        <v>543286.06999999995</v>
      </c>
      <c r="H71" s="19">
        <f t="shared" ref="H71" si="7">SUM(H62:H69)</f>
        <v>577549.63000000012</v>
      </c>
    </row>
    <row r="72" spans="2:9" x14ac:dyDescent="0.35">
      <c r="E72" s="47"/>
      <c r="F72" s="47"/>
      <c r="G72" s="47"/>
      <c r="H72" s="47"/>
    </row>
    <row r="73" spans="2:9" s="11" customFormat="1" ht="18.75" x14ac:dyDescent="0.3">
      <c r="B73" s="26" t="s">
        <v>45</v>
      </c>
      <c r="C73" s="16"/>
      <c r="D73" s="10"/>
      <c r="E73" s="15">
        <f t="shared" ref="E73:G73" si="8">SUM(E59,E71)</f>
        <v>1531679.0100000002</v>
      </c>
      <c r="F73" s="15">
        <f t="shared" ref="F73" si="9">SUM(F59,F71)</f>
        <v>1596309.92</v>
      </c>
      <c r="G73" s="15">
        <f t="shared" si="8"/>
        <v>1483875.1300000004</v>
      </c>
      <c r="H73" s="15">
        <f t="shared" ref="H73" si="10">SUM(H59,H71)</f>
        <v>1467638.2500000002</v>
      </c>
    </row>
    <row r="74" spans="2:9" x14ac:dyDescent="0.35">
      <c r="B74" s="27"/>
      <c r="E74" s="47"/>
      <c r="F74" s="47"/>
      <c r="G74" s="47"/>
      <c r="H74" s="47"/>
    </row>
    <row r="75" spans="2:9" s="11" customFormat="1" ht="18.75" x14ac:dyDescent="0.3">
      <c r="B75" s="26" t="s">
        <v>34</v>
      </c>
      <c r="C75" s="16"/>
      <c r="D75" s="10"/>
      <c r="E75" s="15">
        <f t="shared" ref="E75:G75" si="11">SUM(E38,-E73)</f>
        <v>-139905.81000000029</v>
      </c>
      <c r="F75" s="15">
        <f t="shared" ref="F75" si="12">SUM(F38,-F73)</f>
        <v>-94979.260000000009</v>
      </c>
      <c r="G75" s="15">
        <f t="shared" si="11"/>
        <v>-43809.370000000345</v>
      </c>
      <c r="H75" s="15">
        <f t="shared" ref="H75" si="13">SUM(H38,-H73)</f>
        <v>-5942.350000000326</v>
      </c>
    </row>
    <row r="76" spans="2:9" x14ac:dyDescent="0.35">
      <c r="E76" s="47"/>
      <c r="F76" s="47"/>
      <c r="G76" s="47"/>
      <c r="H76" s="47"/>
    </row>
    <row r="77" spans="2:9" s="4" customFormat="1" x14ac:dyDescent="0.35">
      <c r="B77" s="3" t="s">
        <v>134</v>
      </c>
      <c r="C77" s="3"/>
      <c r="D77" s="3"/>
      <c r="E77" s="66"/>
      <c r="F77" s="66"/>
      <c r="G77" s="66"/>
      <c r="H77" s="66"/>
    </row>
    <row r="78" spans="2:9" x14ac:dyDescent="0.35">
      <c r="B78" s="1" t="s">
        <v>133</v>
      </c>
      <c r="E78" s="14">
        <v>0</v>
      </c>
      <c r="F78" s="14">
        <v>0</v>
      </c>
      <c r="G78" s="79">
        <v>0</v>
      </c>
      <c r="H78" s="14">
        <v>0</v>
      </c>
    </row>
    <row r="79" spans="2:9" x14ac:dyDescent="0.35">
      <c r="B79" s="1" t="s">
        <v>6</v>
      </c>
      <c r="E79" s="14">
        <v>435.05</v>
      </c>
      <c r="F79" s="14">
        <v>34.700000000000003</v>
      </c>
      <c r="G79" s="79">
        <v>677.23</v>
      </c>
      <c r="H79" s="14">
        <v>96.24</v>
      </c>
    </row>
    <row r="80" spans="2:9" x14ac:dyDescent="0.35">
      <c r="B80" s="1" t="s">
        <v>28</v>
      </c>
      <c r="E80" s="74">
        <v>-5295.15</v>
      </c>
      <c r="F80" s="74">
        <v>-5997.53</v>
      </c>
      <c r="G80" s="80">
        <v>-7568.52</v>
      </c>
      <c r="H80" s="74">
        <v>-7214.27</v>
      </c>
    </row>
    <row r="81" spans="2:8" hidden="1" x14ac:dyDescent="0.35">
      <c r="B81" s="1" t="s">
        <v>6</v>
      </c>
      <c r="E81" s="62">
        <f>(584.91+21769.81)*0</f>
        <v>0</v>
      </c>
      <c r="F81" s="62">
        <f>(584.91+21769.81)*0</f>
        <v>0</v>
      </c>
      <c r="G81" s="62">
        <f>(584.91+21769.81)*0</f>
        <v>0</v>
      </c>
      <c r="H81" s="62">
        <f>(584.91+21769.81)*0</f>
        <v>0</v>
      </c>
    </row>
    <row r="82" spans="2:8" ht="9" customHeight="1" x14ac:dyDescent="0.35">
      <c r="E82" s="47"/>
      <c r="F82" s="47"/>
      <c r="G82" s="47"/>
      <c r="H82" s="47"/>
    </row>
    <row r="83" spans="2:8" x14ac:dyDescent="0.35">
      <c r="B83" s="20"/>
      <c r="C83" s="20" t="s">
        <v>44</v>
      </c>
      <c r="D83" s="17"/>
      <c r="E83" s="19">
        <f>SUM(E78:E82)</f>
        <v>-4860.0999999999995</v>
      </c>
      <c r="F83" s="19">
        <f>SUM(F78:F82)</f>
        <v>-5962.83</v>
      </c>
      <c r="G83" s="19">
        <f>SUM(G78:G82)</f>
        <v>-6891.2900000000009</v>
      </c>
      <c r="H83" s="19">
        <f>SUM(H78:H82)</f>
        <v>-7118.0300000000007</v>
      </c>
    </row>
    <row r="84" spans="2:8" x14ac:dyDescent="0.35">
      <c r="E84" s="47"/>
      <c r="F84" s="47"/>
      <c r="G84" s="47"/>
      <c r="H84" s="47"/>
    </row>
    <row r="85" spans="2:8" s="4" customFormat="1" x14ac:dyDescent="0.35">
      <c r="B85" s="3" t="s">
        <v>146</v>
      </c>
      <c r="C85" s="3"/>
      <c r="D85" s="3"/>
      <c r="E85" s="66"/>
      <c r="F85" s="66"/>
      <c r="G85" s="66"/>
      <c r="H85" s="66"/>
    </row>
    <row r="86" spans="2:8" x14ac:dyDescent="0.35">
      <c r="B86" s="43" t="s">
        <v>115</v>
      </c>
      <c r="E86" s="74">
        <v>0</v>
      </c>
      <c r="F86" s="74">
        <v>0</v>
      </c>
      <c r="G86" s="74">
        <v>0</v>
      </c>
      <c r="H86" s="74">
        <v>-1709.55</v>
      </c>
    </row>
    <row r="87" spans="2:8" x14ac:dyDescent="0.35">
      <c r="B87" s="43" t="s">
        <v>116</v>
      </c>
      <c r="E87" s="14">
        <v>0</v>
      </c>
      <c r="F87" s="14">
        <v>0</v>
      </c>
      <c r="G87" s="14">
        <v>0</v>
      </c>
      <c r="H87" s="14">
        <v>0</v>
      </c>
    </row>
    <row r="88" spans="2:8" x14ac:dyDescent="0.35">
      <c r="B88" s="43" t="s">
        <v>117</v>
      </c>
      <c r="E88" s="14">
        <v>0</v>
      </c>
      <c r="F88" s="14">
        <v>0</v>
      </c>
      <c r="G88" s="14">
        <v>0</v>
      </c>
      <c r="H88" s="14">
        <v>0</v>
      </c>
    </row>
    <row r="89" spans="2:8" x14ac:dyDescent="0.35">
      <c r="B89" s="43" t="s">
        <v>157</v>
      </c>
      <c r="E89" s="14">
        <v>-36.51</v>
      </c>
      <c r="F89" s="14">
        <v>-12602.63</v>
      </c>
      <c r="G89" s="14">
        <v>0</v>
      </c>
      <c r="H89" s="14"/>
    </row>
    <row r="90" spans="2:8" x14ac:dyDescent="0.35">
      <c r="B90" s="43" t="s">
        <v>144</v>
      </c>
      <c r="E90" s="14">
        <v>37103.589999999997</v>
      </c>
      <c r="F90" s="14">
        <v>112263.72</v>
      </c>
      <c r="G90" s="14">
        <v>15002.43</v>
      </c>
      <c r="H90" s="14">
        <v>9743.5300000000007</v>
      </c>
    </row>
    <row r="91" spans="2:8" x14ac:dyDescent="0.35">
      <c r="B91" s="43" t="s">
        <v>145</v>
      </c>
      <c r="E91" s="14">
        <v>0</v>
      </c>
      <c r="F91" s="14">
        <v>0</v>
      </c>
      <c r="G91" s="14">
        <v>2795.65</v>
      </c>
      <c r="H91" s="14">
        <v>5026.3999999999996</v>
      </c>
    </row>
    <row r="92" spans="2:8" x14ac:dyDescent="0.35">
      <c r="B92" s="43" t="s">
        <v>151</v>
      </c>
      <c r="E92" s="14">
        <v>106978.83</v>
      </c>
      <c r="F92" s="14">
        <v>0</v>
      </c>
      <c r="G92" s="14">
        <v>32902.58</v>
      </c>
      <c r="H92" s="14">
        <v>0</v>
      </c>
    </row>
    <row r="93" spans="2:8" x14ac:dyDescent="0.35">
      <c r="B93" s="43" t="s">
        <v>161</v>
      </c>
      <c r="E93" s="14">
        <v>720</v>
      </c>
      <c r="F93" s="14">
        <v>1281</v>
      </c>
      <c r="G93" s="14">
        <v>0</v>
      </c>
      <c r="H93" s="14">
        <v>0</v>
      </c>
    </row>
    <row r="94" spans="2:8" ht="9" customHeight="1" x14ac:dyDescent="0.35">
      <c r="E94" s="47"/>
      <c r="F94" s="47"/>
      <c r="G94" s="47"/>
      <c r="H94" s="47"/>
    </row>
    <row r="95" spans="2:8" x14ac:dyDescent="0.35">
      <c r="B95" s="20"/>
      <c r="C95" s="20" t="s">
        <v>147</v>
      </c>
      <c r="D95" s="17"/>
      <c r="E95" s="19">
        <f t="shared" ref="E95:H95" si="14">SUM(E86:E94)</f>
        <v>144765.91</v>
      </c>
      <c r="F95" s="19">
        <f t="shared" si="14"/>
        <v>100942.09</v>
      </c>
      <c r="G95" s="19">
        <f t="shared" si="14"/>
        <v>50700.66</v>
      </c>
      <c r="H95" s="19">
        <f t="shared" si="14"/>
        <v>13060.380000000001</v>
      </c>
    </row>
    <row r="96" spans="2:8" x14ac:dyDescent="0.35">
      <c r="E96" s="47"/>
      <c r="F96" s="47"/>
      <c r="G96" s="47"/>
      <c r="H96" s="47"/>
    </row>
    <row r="97" spans="2:8" ht="19.5" x14ac:dyDescent="0.35">
      <c r="B97" s="26" t="s">
        <v>41</v>
      </c>
      <c r="C97" s="16"/>
      <c r="D97" s="10"/>
      <c r="E97" s="15">
        <f t="shared" ref="E97:G97" si="15">SUM(E83,E95)</f>
        <v>139905.81</v>
      </c>
      <c r="F97" s="15">
        <f t="shared" ref="F97" si="16">SUM(F83,F95)</f>
        <v>94979.26</v>
      </c>
      <c r="G97" s="15">
        <f t="shared" si="15"/>
        <v>43809.37</v>
      </c>
      <c r="H97" s="15">
        <f>SUM(H83,H95)</f>
        <v>5942.35</v>
      </c>
    </row>
    <row r="99" spans="2:8" s="21" customFormat="1" ht="18.75" x14ac:dyDescent="0.3">
      <c r="B99" s="28" t="s">
        <v>113</v>
      </c>
      <c r="C99" s="25"/>
      <c r="D99" s="22"/>
      <c r="E99" s="72">
        <f>ROUND(SUM(E75,E97),2)</f>
        <v>0</v>
      </c>
      <c r="F99" s="72">
        <f>ROUND(SUM(F75,F97),2)</f>
        <v>0</v>
      </c>
      <c r="G99" s="72">
        <f>ROUND(SUM(G75,G97),2)</f>
        <v>0</v>
      </c>
      <c r="H99" s="72">
        <f>ROUND(SUM(H75,H97),2)</f>
        <v>0</v>
      </c>
    </row>
    <row r="101" spans="2:8" x14ac:dyDescent="0.35">
      <c r="E101" s="71">
        <f>-E86-E80+E71+E59-E27</f>
        <v>2016004.1600000001</v>
      </c>
      <c r="F101" s="71">
        <f>-F86-F80+F71+F59-F27</f>
        <v>2075337.45</v>
      </c>
      <c r="G101" s="71">
        <f>-G86-G80+G71+G59-G27</f>
        <v>1960148.6500000004</v>
      </c>
      <c r="H101" s="71">
        <f>-H86-H80+H71+H59-H27</f>
        <v>1933792.0700000003</v>
      </c>
    </row>
    <row r="102" spans="2:8" hidden="1" outlineLevel="1" x14ac:dyDescent="0.35">
      <c r="C102" s="1" t="s">
        <v>104</v>
      </c>
      <c r="D102" s="12" t="s">
        <v>100</v>
      </c>
      <c r="E102" s="62">
        <v>1899875.05</v>
      </c>
      <c r="F102" s="62">
        <v>1899875.05</v>
      </c>
      <c r="G102" s="62">
        <v>1899875.05</v>
      </c>
      <c r="H102" s="62">
        <v>1899875.05</v>
      </c>
    </row>
    <row r="103" spans="2:8" hidden="1" outlineLevel="1" x14ac:dyDescent="0.35">
      <c r="D103" s="1" t="s">
        <v>101</v>
      </c>
      <c r="E103" s="47">
        <f>+SUM(E38,E81)</f>
        <v>1391773.2</v>
      </c>
      <c r="F103" s="47">
        <f>+SUM(F38,F81)</f>
        <v>1501330.66</v>
      </c>
      <c r="G103" s="47">
        <f>+SUM(G38,G81)</f>
        <v>1440065.76</v>
      </c>
      <c r="H103" s="47">
        <f>+SUM(H38,H81)</f>
        <v>1461695.9</v>
      </c>
    </row>
    <row r="104" spans="2:8" hidden="1" outlineLevel="1" x14ac:dyDescent="0.35">
      <c r="D104" s="1" t="s">
        <v>102</v>
      </c>
      <c r="E104" s="68">
        <f>+E102-E103</f>
        <v>508101.85000000009</v>
      </c>
      <c r="F104" s="68">
        <f>+F102-F103</f>
        <v>398544.39000000013</v>
      </c>
      <c r="G104" s="68">
        <f>+G102-G103</f>
        <v>459809.29000000004</v>
      </c>
      <c r="H104" s="68">
        <f>+H102-H103</f>
        <v>438179.15000000014</v>
      </c>
    </row>
    <row r="105" spans="2:8" hidden="1" outlineLevel="1" x14ac:dyDescent="0.35"/>
    <row r="106" spans="2:8" hidden="1" outlineLevel="1" x14ac:dyDescent="0.35">
      <c r="C106" s="1" t="s">
        <v>103</v>
      </c>
      <c r="D106" s="12" t="s">
        <v>100</v>
      </c>
      <c r="E106" s="62">
        <v>1899875.05</v>
      </c>
      <c r="F106" s="62">
        <v>1899875.05</v>
      </c>
      <c r="G106" s="62">
        <v>1899875.05</v>
      </c>
      <c r="H106" s="62">
        <v>1899875.05</v>
      </c>
    </row>
    <row r="107" spans="2:8" hidden="1" outlineLevel="1" x14ac:dyDescent="0.35">
      <c r="D107" s="1" t="s">
        <v>101</v>
      </c>
      <c r="E107" s="47">
        <f>+SUM(E73,-E80)</f>
        <v>1536974.1600000001</v>
      </c>
      <c r="F107" s="47">
        <f>+SUM(F73,-F80)</f>
        <v>1602307.45</v>
      </c>
      <c r="G107" s="47">
        <f>+SUM(G73,-G80)</f>
        <v>1491443.6500000004</v>
      </c>
      <c r="H107" s="47">
        <f>+SUM(H73,-H80)</f>
        <v>1474852.5200000003</v>
      </c>
    </row>
    <row r="108" spans="2:8" hidden="1" outlineLevel="1" x14ac:dyDescent="0.35">
      <c r="D108" s="1" t="s">
        <v>102</v>
      </c>
      <c r="E108" s="68">
        <f>+E106-E107</f>
        <v>362900.8899999999</v>
      </c>
      <c r="F108" s="68">
        <f>+F106-F107</f>
        <v>297567.60000000009</v>
      </c>
      <c r="G108" s="68">
        <f>+G106-G107</f>
        <v>408431.39999999967</v>
      </c>
      <c r="H108" s="68">
        <f>+H106-H107</f>
        <v>425022.5299999998</v>
      </c>
    </row>
    <row r="109" spans="2:8" collapsed="1" x14ac:dyDescent="0.35"/>
    <row r="110" spans="2:8" x14ac:dyDescent="0.35">
      <c r="B110" s="1" t="s">
        <v>142</v>
      </c>
      <c r="E110" s="73">
        <v>26929.11</v>
      </c>
      <c r="F110" s="73">
        <v>25198.49</v>
      </c>
      <c r="G110" s="73">
        <v>35763.85</v>
      </c>
      <c r="H110" s="73">
        <v>26538.12</v>
      </c>
    </row>
  </sheetData>
  <mergeCells count="3">
    <mergeCell ref="B33:D33"/>
    <mergeCell ref="B11:D11"/>
    <mergeCell ref="B32:D32"/>
  </mergeCells>
  <pageMargins left="0.70866141732283472" right="0.70866141732283472" top="0.74803149606299213" bottom="0.74803149606299213" header="0.31496062992125984" footer="0.31496062992125984"/>
  <pageSetup paperSize="9" scale="66" fitToHeight="2" orientation="portrait" r:id="rId1"/>
  <rowBreaks count="1" manualBreakCount="1">
    <brk id="6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1:Q87"/>
  <sheetViews>
    <sheetView showGridLines="0" view="pageBreakPreview" topLeftCell="A61" zoomScale="110" zoomScaleNormal="100" zoomScaleSheetLayoutView="110" workbookViewId="0">
      <selection activeCell="B12" sqref="B12"/>
    </sheetView>
  </sheetViews>
  <sheetFormatPr defaultColWidth="8.7109375" defaultRowHeight="18" x14ac:dyDescent="0.35"/>
  <cols>
    <col min="1" max="1" width="8.7109375" style="1"/>
    <col min="2" max="2" width="48.7109375" style="1" customWidth="1"/>
    <col min="3" max="3" width="16.140625" style="1" customWidth="1"/>
    <col min="4" max="4" width="13.7109375" style="1" customWidth="1"/>
    <col min="5" max="8" width="19.28515625" style="53" customWidth="1"/>
    <col min="9" max="12" width="19.28515625" style="1" customWidth="1"/>
    <col min="13" max="17" width="16.140625" style="1" customWidth="1"/>
    <col min="18" max="16384" width="8.7109375" style="1"/>
  </cols>
  <sheetData>
    <row r="11" spans="2:12" ht="31.15" customHeight="1" x14ac:dyDescent="0.35">
      <c r="B11" s="86" t="s">
        <v>163</v>
      </c>
      <c r="C11" s="86"/>
      <c r="D11" s="86"/>
      <c r="E11" s="63"/>
      <c r="F11" s="63"/>
      <c r="G11" s="63"/>
      <c r="H11" s="63"/>
      <c r="I11" s="29"/>
      <c r="J11" s="29"/>
      <c r="K11" s="29"/>
      <c r="L11" s="29"/>
    </row>
    <row r="12" spans="2:12" ht="12.4" customHeight="1" x14ac:dyDescent="0.35">
      <c r="B12" s="5"/>
      <c r="C12" s="6"/>
      <c r="D12" s="6"/>
      <c r="E12" s="64"/>
      <c r="F12" s="64"/>
      <c r="G12" s="64"/>
      <c r="H12" s="64"/>
      <c r="I12" s="6"/>
      <c r="J12" s="6"/>
      <c r="K12" s="6"/>
      <c r="L12" s="6"/>
    </row>
    <row r="13" spans="2:12" ht="33" customHeight="1" x14ac:dyDescent="0.35">
      <c r="B13" s="7"/>
      <c r="C13" s="8"/>
      <c r="D13" s="8"/>
      <c r="E13" s="9" t="s">
        <v>162</v>
      </c>
      <c r="F13" s="9" t="s">
        <v>155</v>
      </c>
      <c r="G13" s="9" t="s">
        <v>153</v>
      </c>
      <c r="H13" s="9" t="s">
        <v>136</v>
      </c>
      <c r="I13" s="9" t="s">
        <v>131</v>
      </c>
      <c r="J13" s="9" t="s">
        <v>125</v>
      </c>
      <c r="K13" s="9" t="s">
        <v>118</v>
      </c>
      <c r="L13" s="9" t="s">
        <v>83</v>
      </c>
    </row>
    <row r="14" spans="2:12" ht="12.4" customHeight="1" x14ac:dyDescent="0.35"/>
    <row r="15" spans="2:12" x14ac:dyDescent="0.35">
      <c r="B15" s="30" t="s">
        <v>7</v>
      </c>
      <c r="C15" s="2"/>
      <c r="D15" s="2"/>
      <c r="E15" s="65"/>
      <c r="F15" s="65"/>
      <c r="G15" s="65"/>
      <c r="H15" s="65"/>
      <c r="I15" s="2"/>
      <c r="J15" s="2"/>
      <c r="K15" s="2"/>
      <c r="L15" s="2"/>
    </row>
    <row r="16" spans="2:12" s="4" customFormat="1" x14ac:dyDescent="0.35">
      <c r="B16" s="3" t="s">
        <v>8</v>
      </c>
      <c r="C16" s="3"/>
      <c r="D16" s="3"/>
      <c r="E16" s="66"/>
      <c r="F16" s="66"/>
      <c r="G16" s="66"/>
      <c r="H16" s="66"/>
      <c r="I16" s="3"/>
      <c r="J16" s="3"/>
      <c r="K16" s="3"/>
      <c r="L16" s="3"/>
    </row>
    <row r="17" spans="2:12" x14ac:dyDescent="0.35">
      <c r="B17" s="1" t="s">
        <v>0</v>
      </c>
      <c r="E17" s="13">
        <f>E18+3243*500</f>
        <v>1726850</v>
      </c>
      <c r="F17" s="13">
        <v>1730950</v>
      </c>
      <c r="G17" s="13">
        <v>1691350</v>
      </c>
      <c r="H17" s="13">
        <v>1677500</v>
      </c>
      <c r="I17" s="13">
        <v>1700000</v>
      </c>
      <c r="J17" s="13">
        <v>1691000</v>
      </c>
      <c r="K17" s="13">
        <v>1614500</v>
      </c>
      <c r="L17" s="13">
        <v>1601240</v>
      </c>
    </row>
    <row r="18" spans="2:12" x14ac:dyDescent="0.35">
      <c r="B18" s="75" t="s">
        <v>148</v>
      </c>
      <c r="E18" s="24">
        <f>301*350</f>
        <v>105350</v>
      </c>
      <c r="F18" s="24">
        <v>103950</v>
      </c>
      <c r="G18" s="24">
        <v>91350</v>
      </c>
      <c r="H18" s="24">
        <v>87500</v>
      </c>
      <c r="I18" s="77" t="s">
        <v>149</v>
      </c>
      <c r="J18" s="76" t="str">
        <f>+I18</f>
        <v>n.d.</v>
      </c>
      <c r="K18" s="13"/>
      <c r="L18" s="13"/>
    </row>
    <row r="19" spans="2:12" x14ac:dyDescent="0.35">
      <c r="B19" s="1" t="s">
        <v>2</v>
      </c>
      <c r="E19" s="13">
        <f>(314+70)*230</f>
        <v>88320</v>
      </c>
      <c r="F19" s="13">
        <v>79810</v>
      </c>
      <c r="G19" s="13">
        <v>93380</v>
      </c>
      <c r="H19" s="13">
        <v>81880</v>
      </c>
      <c r="I19" s="13">
        <v>83260</v>
      </c>
      <c r="J19" s="13">
        <v>87860</v>
      </c>
      <c r="K19" s="13">
        <v>113850</v>
      </c>
      <c r="L19" s="13">
        <v>47840</v>
      </c>
    </row>
    <row r="20" spans="2:12" hidden="1" x14ac:dyDescent="0.35">
      <c r="B20" s="1" t="s">
        <v>3</v>
      </c>
      <c r="E20" s="8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100000</v>
      </c>
    </row>
    <row r="21" spans="2:12" x14ac:dyDescent="0.35">
      <c r="B21" s="1" t="s">
        <v>1</v>
      </c>
      <c r="E21" s="13">
        <f>78*350</f>
        <v>27300</v>
      </c>
      <c r="F21" s="13">
        <v>24150</v>
      </c>
      <c r="G21" s="13">
        <v>23450</v>
      </c>
      <c r="H21" s="13">
        <v>25550</v>
      </c>
      <c r="I21" s="13">
        <v>25200</v>
      </c>
      <c r="J21" s="13">
        <v>25900</v>
      </c>
      <c r="K21" s="13">
        <v>24150</v>
      </c>
      <c r="L21" s="13">
        <v>27500</v>
      </c>
    </row>
    <row r="22" spans="2:12" x14ac:dyDescent="0.35">
      <c r="B22" s="1" t="s">
        <v>4</v>
      </c>
      <c r="E22" s="84">
        <v>10950</v>
      </c>
      <c r="F22" s="13">
        <v>10010</v>
      </c>
      <c r="G22" s="13">
        <v>9100</v>
      </c>
      <c r="H22" s="13">
        <v>7540</v>
      </c>
      <c r="I22" s="13">
        <v>21000</v>
      </c>
      <c r="J22" s="13">
        <v>20000</v>
      </c>
      <c r="K22" s="13">
        <v>13000</v>
      </c>
      <c r="L22" s="13">
        <v>14500</v>
      </c>
    </row>
    <row r="23" spans="2:12" x14ac:dyDescent="0.35">
      <c r="B23" s="1" t="s">
        <v>12</v>
      </c>
      <c r="E23" s="13">
        <f>150*400</f>
        <v>60000</v>
      </c>
      <c r="F23" s="13">
        <v>48000</v>
      </c>
      <c r="G23" s="13">
        <v>64000</v>
      </c>
      <c r="H23" s="13">
        <v>48000</v>
      </c>
      <c r="I23" s="13">
        <v>48000</v>
      </c>
      <c r="J23" s="13">
        <v>48000</v>
      </c>
      <c r="K23" s="13">
        <v>40000</v>
      </c>
      <c r="L23" s="13">
        <v>63600</v>
      </c>
    </row>
    <row r="24" spans="2:12" x14ac:dyDescent="0.35">
      <c r="B24" s="1" t="s">
        <v>31</v>
      </c>
      <c r="E24" s="13">
        <v>32500</v>
      </c>
      <c r="F24" s="13">
        <v>33000</v>
      </c>
      <c r="G24" s="13">
        <v>36800</v>
      </c>
      <c r="H24" s="13">
        <v>23500</v>
      </c>
      <c r="I24" s="13">
        <v>23500</v>
      </c>
      <c r="J24" s="13">
        <v>24000</v>
      </c>
      <c r="K24" s="13">
        <v>37000</v>
      </c>
      <c r="L24" s="13">
        <v>36640</v>
      </c>
    </row>
    <row r="25" spans="2:12" ht="9" customHeight="1" x14ac:dyDescent="0.35">
      <c r="B25" s="12"/>
      <c r="E25" s="67"/>
      <c r="F25" s="67"/>
      <c r="G25" s="67"/>
      <c r="H25" s="67"/>
      <c r="I25" s="24"/>
      <c r="J25" s="24"/>
      <c r="K25" s="24"/>
      <c r="L25" s="24"/>
    </row>
    <row r="26" spans="2:12" s="46" customFormat="1" x14ac:dyDescent="0.35">
      <c r="B26" s="20"/>
      <c r="C26" s="20" t="s">
        <v>46</v>
      </c>
      <c r="D26" s="45"/>
      <c r="E26" s="19">
        <f>SUM(E17:E25)-E18</f>
        <v>1945920</v>
      </c>
      <c r="F26" s="19">
        <f>SUM(F17:F25)-F18</f>
        <v>1925920</v>
      </c>
      <c r="G26" s="19">
        <f>SUM(G17:G25)-G18</f>
        <v>1918080</v>
      </c>
      <c r="H26" s="44">
        <f>SUM(H17:H25)-H18</f>
        <v>1863970</v>
      </c>
      <c r="I26" s="44">
        <f>SUM(I17:I25)</f>
        <v>1900960</v>
      </c>
      <c r="J26" s="44">
        <f>SUM(J17:J25)</f>
        <v>1896760</v>
      </c>
      <c r="K26" s="44">
        <f>SUM(K17:K25)</f>
        <v>1842500</v>
      </c>
      <c r="L26" s="44">
        <f>SUM(L17:L25)</f>
        <v>1891320</v>
      </c>
    </row>
    <row r="27" spans="2:12" ht="9" customHeight="1" x14ac:dyDescent="0.35">
      <c r="L27" s="13"/>
    </row>
    <row r="28" spans="2:12" x14ac:dyDescent="0.35">
      <c r="B28" s="12" t="s">
        <v>13</v>
      </c>
      <c r="E28" s="84">
        <v>-559650</v>
      </c>
      <c r="F28" s="24">
        <v>-473420</v>
      </c>
      <c r="G28" s="24">
        <v>-466320</v>
      </c>
      <c r="H28" s="24">
        <v>-464210</v>
      </c>
      <c r="I28" s="24">
        <v>-468910</v>
      </c>
      <c r="J28" s="24">
        <f>-462930</f>
        <v>-462930</v>
      </c>
      <c r="K28" s="24">
        <v>-458380</v>
      </c>
      <c r="L28" s="24">
        <v>-460000</v>
      </c>
    </row>
    <row r="29" spans="2:12" ht="9" customHeight="1" x14ac:dyDescent="0.35">
      <c r="B29" s="12"/>
      <c r="E29" s="67"/>
      <c r="F29" s="67"/>
      <c r="G29" s="81"/>
      <c r="H29" s="67"/>
      <c r="I29" s="24"/>
      <c r="J29" s="24"/>
      <c r="K29" s="24"/>
      <c r="L29" s="24"/>
    </row>
    <row r="30" spans="2:12" s="46" customFormat="1" x14ac:dyDescent="0.35">
      <c r="B30" s="20"/>
      <c r="C30" s="20" t="s">
        <v>42</v>
      </c>
      <c r="D30" s="45"/>
      <c r="E30" s="19">
        <f t="shared" ref="E30:L30" si="0">SUM(E26:E29)</f>
        <v>1386270</v>
      </c>
      <c r="F30" s="19">
        <f t="shared" ref="F30" si="1">SUM(F26:F29)</f>
        <v>1452500</v>
      </c>
      <c r="G30" s="19">
        <f t="shared" si="0"/>
        <v>1451760</v>
      </c>
      <c r="H30" s="44">
        <f t="shared" si="0"/>
        <v>1399760</v>
      </c>
      <c r="I30" s="44">
        <f t="shared" si="0"/>
        <v>1432050</v>
      </c>
      <c r="J30" s="44">
        <f t="shared" si="0"/>
        <v>1433830</v>
      </c>
      <c r="K30" s="44">
        <f t="shared" si="0"/>
        <v>1384120</v>
      </c>
      <c r="L30" s="44">
        <f t="shared" si="0"/>
        <v>1431320</v>
      </c>
    </row>
    <row r="31" spans="2:12" x14ac:dyDescent="0.35">
      <c r="E31" s="47"/>
      <c r="F31" s="47"/>
      <c r="G31" s="47"/>
      <c r="H31" s="47"/>
      <c r="I31" s="13"/>
      <c r="J31" s="13"/>
      <c r="K31" s="13"/>
      <c r="L31" s="13"/>
    </row>
    <row r="32" spans="2:12" s="4" customFormat="1" x14ac:dyDescent="0.35">
      <c r="B32" s="3" t="s">
        <v>48</v>
      </c>
      <c r="C32" s="3"/>
      <c r="D32" s="3"/>
      <c r="E32" s="66"/>
      <c r="F32" s="66"/>
      <c r="G32" s="66"/>
      <c r="H32" s="66"/>
      <c r="I32" s="3"/>
      <c r="J32" s="3"/>
      <c r="K32" s="3"/>
      <c r="L32" s="3"/>
    </row>
    <row r="33" spans="2:12" ht="34.15" customHeight="1" x14ac:dyDescent="0.35">
      <c r="B33" s="87" t="s">
        <v>33</v>
      </c>
      <c r="C33" s="87"/>
      <c r="D33" s="87"/>
      <c r="E33" s="85">
        <v>84570</v>
      </c>
      <c r="F33" s="14">
        <v>6080</v>
      </c>
      <c r="G33" s="14">
        <v>6920</v>
      </c>
      <c r="H33" s="14">
        <v>6030</v>
      </c>
      <c r="I33" s="14">
        <v>3040</v>
      </c>
      <c r="J33" s="14">
        <v>3240</v>
      </c>
      <c r="K33" s="14">
        <v>2000</v>
      </c>
      <c r="L33" s="14">
        <v>14649.41</v>
      </c>
    </row>
    <row r="34" spans="2:12" ht="9" customHeight="1" x14ac:dyDescent="0.35">
      <c r="B34" s="31"/>
      <c r="C34" s="31"/>
      <c r="D34" s="31"/>
      <c r="E34" s="62"/>
      <c r="F34" s="62"/>
      <c r="G34" s="62"/>
      <c r="H34" s="14"/>
      <c r="I34" s="14"/>
      <c r="J34" s="14"/>
      <c r="K34" s="14"/>
      <c r="L34" s="14"/>
    </row>
    <row r="35" spans="2:12" s="46" customFormat="1" x14ac:dyDescent="0.35">
      <c r="B35" s="20"/>
      <c r="C35" s="20" t="s">
        <v>49</v>
      </c>
      <c r="D35" s="45"/>
      <c r="E35" s="19">
        <f t="shared" ref="E35:G35" si="2">SUM(E33:E33)</f>
        <v>84570</v>
      </c>
      <c r="F35" s="19">
        <f t="shared" ref="F35" si="3">SUM(F33:F33)</f>
        <v>6080</v>
      </c>
      <c r="G35" s="19">
        <f t="shared" si="2"/>
        <v>6920</v>
      </c>
      <c r="H35" s="44">
        <f t="shared" ref="H35:L35" si="4">SUM(H33:H33)</f>
        <v>6030</v>
      </c>
      <c r="I35" s="44">
        <f t="shared" si="4"/>
        <v>3040</v>
      </c>
      <c r="J35" s="44">
        <f t="shared" si="4"/>
        <v>3240</v>
      </c>
      <c r="K35" s="44">
        <f t="shared" si="4"/>
        <v>2000</v>
      </c>
      <c r="L35" s="44">
        <f t="shared" si="4"/>
        <v>14649.41</v>
      </c>
    </row>
    <row r="36" spans="2:12" x14ac:dyDescent="0.35">
      <c r="E36" s="47"/>
      <c r="F36" s="47"/>
      <c r="G36" s="47"/>
      <c r="H36" s="47"/>
      <c r="I36" s="13"/>
      <c r="J36" s="13"/>
      <c r="K36" s="13"/>
      <c r="L36" s="13"/>
    </row>
    <row r="37" spans="2:12" x14ac:dyDescent="0.35">
      <c r="E37" s="47"/>
      <c r="F37" s="47"/>
      <c r="G37" s="47"/>
      <c r="H37" s="47"/>
      <c r="I37" s="13"/>
      <c r="J37" s="13"/>
      <c r="K37" s="13"/>
      <c r="L37" s="13"/>
    </row>
    <row r="38" spans="2:12" s="11" customFormat="1" ht="18.75" x14ac:dyDescent="0.3">
      <c r="B38" s="26" t="s">
        <v>47</v>
      </c>
      <c r="C38" s="16"/>
      <c r="D38" s="10"/>
      <c r="E38" s="15">
        <f t="shared" ref="E38:G38" si="5">SUM(E30,E35)</f>
        <v>1470840</v>
      </c>
      <c r="F38" s="15">
        <f t="shared" ref="F38" si="6">SUM(F30,F35)</f>
        <v>1458580</v>
      </c>
      <c r="G38" s="15">
        <f t="shared" si="5"/>
        <v>1458680</v>
      </c>
      <c r="H38" s="15">
        <f t="shared" ref="H38:L38" si="7">SUM(H30,H35)</f>
        <v>1405790</v>
      </c>
      <c r="I38" s="15">
        <f t="shared" si="7"/>
        <v>1435090</v>
      </c>
      <c r="J38" s="15">
        <f t="shared" si="7"/>
        <v>1437070</v>
      </c>
      <c r="K38" s="15">
        <f t="shared" si="7"/>
        <v>1386120</v>
      </c>
      <c r="L38" s="15">
        <f t="shared" si="7"/>
        <v>1445969.41</v>
      </c>
    </row>
    <row r="41" spans="2:12" x14ac:dyDescent="0.35">
      <c r="B41" s="30" t="s">
        <v>9</v>
      </c>
      <c r="C41" s="2"/>
      <c r="D41" s="2"/>
      <c r="E41" s="65"/>
      <c r="F41" s="65"/>
      <c r="G41" s="65"/>
      <c r="H41" s="65"/>
      <c r="I41" s="2"/>
      <c r="J41" s="2"/>
      <c r="K41" s="2"/>
      <c r="L41" s="2"/>
    </row>
    <row r="42" spans="2:12" s="4" customFormat="1" x14ac:dyDescent="0.35">
      <c r="B42" s="3" t="s">
        <v>10</v>
      </c>
      <c r="C42" s="3"/>
      <c r="D42" s="3"/>
      <c r="E42" s="66"/>
      <c r="F42" s="66"/>
      <c r="G42" s="70"/>
      <c r="H42" s="66"/>
      <c r="I42" s="3"/>
      <c r="J42" s="3"/>
      <c r="K42" s="3"/>
      <c r="L42" s="3"/>
    </row>
    <row r="43" spans="2:12" x14ac:dyDescent="0.35">
      <c r="B43" s="1" t="s">
        <v>36</v>
      </c>
      <c r="E43" s="13">
        <v>520000</v>
      </c>
      <c r="F43" s="13">
        <v>520000</v>
      </c>
      <c r="G43" s="13">
        <v>520000</v>
      </c>
      <c r="H43" s="13">
        <v>500000</v>
      </c>
      <c r="I43" s="13">
        <v>510000</v>
      </c>
      <c r="J43" s="13">
        <v>530000</v>
      </c>
      <c r="K43" s="13">
        <f>513590+35000</f>
        <v>548590</v>
      </c>
      <c r="L43" s="13">
        <v>523846</v>
      </c>
    </row>
    <row r="44" spans="2:12" x14ac:dyDescent="0.35">
      <c r="B44" s="1" t="s">
        <v>37</v>
      </c>
      <c r="E44" s="13">
        <v>15000</v>
      </c>
      <c r="F44" s="13">
        <v>30000</v>
      </c>
      <c r="G44" s="13">
        <v>20000</v>
      </c>
      <c r="H44" s="13">
        <v>64000</v>
      </c>
      <c r="I44" s="13">
        <v>44000</v>
      </c>
      <c r="J44" s="13">
        <v>35000</v>
      </c>
      <c r="K44" s="13">
        <v>50000</v>
      </c>
      <c r="L44" s="13">
        <v>48098.47</v>
      </c>
    </row>
    <row r="45" spans="2:12" x14ac:dyDescent="0.35">
      <c r="B45" s="1" t="s">
        <v>19</v>
      </c>
      <c r="E45" s="13">
        <v>100000</v>
      </c>
      <c r="F45" s="13">
        <v>100000</v>
      </c>
      <c r="G45" s="13">
        <v>100000</v>
      </c>
      <c r="H45" s="13">
        <v>100000</v>
      </c>
      <c r="I45" s="13">
        <v>100000</v>
      </c>
      <c r="J45" s="13">
        <v>100000</v>
      </c>
      <c r="K45" s="13">
        <v>100000</v>
      </c>
      <c r="L45" s="13">
        <v>106678.77</v>
      </c>
    </row>
    <row r="46" spans="2:12" x14ac:dyDescent="0.35">
      <c r="B46" s="1" t="s">
        <v>20</v>
      </c>
      <c r="E46" s="13">
        <v>50000</v>
      </c>
      <c r="F46" s="13">
        <v>37940</v>
      </c>
      <c r="G46" s="13">
        <v>38040</v>
      </c>
      <c r="H46" s="13">
        <v>28040</v>
      </c>
      <c r="I46" s="13">
        <v>26090</v>
      </c>
      <c r="J46" s="13">
        <v>30000</v>
      </c>
      <c r="K46" s="13">
        <v>40000</v>
      </c>
      <c r="L46" s="13">
        <v>51886.58</v>
      </c>
    </row>
    <row r="47" spans="2:12" x14ac:dyDescent="0.35">
      <c r="B47" s="1" t="s">
        <v>14</v>
      </c>
      <c r="E47" s="13">
        <v>70000</v>
      </c>
      <c r="F47" s="13">
        <v>70000</v>
      </c>
      <c r="G47" s="13">
        <v>70000</v>
      </c>
      <c r="H47" s="13">
        <v>80000</v>
      </c>
      <c r="I47" s="13">
        <v>83000</v>
      </c>
      <c r="J47" s="13">
        <v>85070</v>
      </c>
      <c r="K47" s="13">
        <v>50000</v>
      </c>
      <c r="L47" s="13">
        <v>48507.199999999997</v>
      </c>
    </row>
    <row r="48" spans="2:12" x14ac:dyDescent="0.35">
      <c r="B48" s="1" t="s">
        <v>32</v>
      </c>
      <c r="E48" s="13">
        <v>45000</v>
      </c>
      <c r="F48" s="13">
        <v>45000</v>
      </c>
      <c r="G48" s="13">
        <v>45000</v>
      </c>
      <c r="H48" s="13">
        <v>45000</v>
      </c>
      <c r="I48" s="13">
        <v>45000</v>
      </c>
      <c r="J48" s="13">
        <v>50000</v>
      </c>
      <c r="K48" s="13">
        <v>50000</v>
      </c>
      <c r="L48" s="13">
        <v>46336.97</v>
      </c>
    </row>
    <row r="49" spans="2:12" x14ac:dyDescent="0.35">
      <c r="B49" s="1" t="s">
        <v>15</v>
      </c>
      <c r="E49" s="13">
        <v>10000</v>
      </c>
      <c r="F49" s="13">
        <v>25000</v>
      </c>
      <c r="G49" s="13">
        <v>30000</v>
      </c>
      <c r="H49" s="13">
        <v>30000</v>
      </c>
      <c r="I49" s="13">
        <v>30000</v>
      </c>
      <c r="J49" s="13">
        <v>25000</v>
      </c>
      <c r="K49" s="13">
        <v>25000</v>
      </c>
      <c r="L49" s="13">
        <v>27626.75</v>
      </c>
    </row>
    <row r="50" spans="2:12" x14ac:dyDescent="0.35">
      <c r="B50" s="1" t="s">
        <v>16</v>
      </c>
      <c r="E50" s="13">
        <v>12000</v>
      </c>
      <c r="F50" s="13">
        <v>20000</v>
      </c>
      <c r="G50" s="13">
        <v>15000</v>
      </c>
      <c r="H50" s="13">
        <v>15000</v>
      </c>
      <c r="I50" s="13">
        <v>15000</v>
      </c>
      <c r="J50" s="13">
        <v>15000</v>
      </c>
      <c r="K50" s="13">
        <v>20000</v>
      </c>
      <c r="L50" s="13">
        <v>23314.33</v>
      </c>
    </row>
    <row r="51" spans="2:12" x14ac:dyDescent="0.35">
      <c r="B51" s="1" t="s">
        <v>17</v>
      </c>
      <c r="E51" s="13">
        <v>19560</v>
      </c>
      <c r="F51" s="13">
        <v>35000</v>
      </c>
      <c r="G51" s="13">
        <v>40000</v>
      </c>
      <c r="H51" s="13">
        <v>40000</v>
      </c>
      <c r="I51" s="13">
        <v>40000</v>
      </c>
      <c r="J51" s="13">
        <v>40000</v>
      </c>
      <c r="K51" s="13">
        <v>84330</v>
      </c>
      <c r="L51" s="13">
        <v>63893.120000000003</v>
      </c>
    </row>
    <row r="52" spans="2:12" x14ac:dyDescent="0.35">
      <c r="B52" s="1" t="s">
        <v>23</v>
      </c>
      <c r="E52" s="13">
        <v>56280</v>
      </c>
      <c r="F52" s="13">
        <v>40000</v>
      </c>
      <c r="G52" s="13">
        <v>50000</v>
      </c>
      <c r="H52" s="13">
        <v>42000</v>
      </c>
      <c r="I52" s="13">
        <v>45000</v>
      </c>
      <c r="J52" s="13">
        <v>35000</v>
      </c>
      <c r="K52" s="13">
        <v>25000</v>
      </c>
      <c r="L52" s="13">
        <v>13626.94</v>
      </c>
    </row>
    <row r="53" spans="2:12" x14ac:dyDescent="0.35">
      <c r="B53" s="1" t="s">
        <v>38</v>
      </c>
      <c r="E53" s="13">
        <v>8000</v>
      </c>
      <c r="F53" s="13">
        <v>6000</v>
      </c>
      <c r="G53" s="13">
        <v>6000</v>
      </c>
      <c r="H53" s="13">
        <v>6000</v>
      </c>
      <c r="I53" s="13">
        <v>16000</v>
      </c>
      <c r="J53" s="13">
        <v>5000</v>
      </c>
      <c r="K53" s="13">
        <v>5000</v>
      </c>
      <c r="L53" s="13">
        <v>9444.1</v>
      </c>
    </row>
    <row r="54" spans="2:12" x14ac:dyDescent="0.35">
      <c r="B54" s="1" t="s">
        <v>26</v>
      </c>
      <c r="E54" s="13">
        <v>20000</v>
      </c>
      <c r="F54" s="13">
        <v>20000</v>
      </c>
      <c r="G54" s="13">
        <v>20000</v>
      </c>
      <c r="H54" s="13">
        <v>20000</v>
      </c>
      <c r="I54" s="13">
        <v>20000</v>
      </c>
      <c r="J54" s="13">
        <v>20000</v>
      </c>
      <c r="K54" s="13">
        <v>10000</v>
      </c>
      <c r="L54" s="13">
        <v>13689</v>
      </c>
    </row>
    <row r="55" spans="2:12" x14ac:dyDescent="0.35">
      <c r="B55" s="1" t="s">
        <v>27</v>
      </c>
      <c r="E55" s="13">
        <v>3000</v>
      </c>
      <c r="F55" s="13">
        <v>3000</v>
      </c>
      <c r="G55" s="13">
        <v>4000</v>
      </c>
      <c r="H55" s="13">
        <v>4000</v>
      </c>
      <c r="I55" s="13">
        <v>4000</v>
      </c>
      <c r="J55" s="13">
        <v>4000</v>
      </c>
      <c r="K55" s="13">
        <v>4000</v>
      </c>
      <c r="L55" s="13">
        <v>4384.8999999999996</v>
      </c>
    </row>
    <row r="56" spans="2:12" ht="9" customHeight="1" x14ac:dyDescent="0.35">
      <c r="E56" s="1"/>
      <c r="F56" s="47"/>
      <c r="G56" s="13"/>
      <c r="H56" s="47"/>
      <c r="I56" s="13"/>
      <c r="J56" s="13"/>
      <c r="K56" s="13"/>
      <c r="L56" s="13"/>
    </row>
    <row r="57" spans="2:12" s="46" customFormat="1" x14ac:dyDescent="0.35">
      <c r="B57" s="20"/>
      <c r="C57" s="20" t="s">
        <v>39</v>
      </c>
      <c r="D57" s="45"/>
      <c r="E57" s="19">
        <f>SUM(E43:E56)</f>
        <v>928840</v>
      </c>
      <c r="F57" s="19">
        <f t="shared" ref="F57:L57" si="8">SUM(F43:F55)</f>
        <v>951940</v>
      </c>
      <c r="G57" s="19">
        <f t="shared" si="8"/>
        <v>958040</v>
      </c>
      <c r="H57" s="44">
        <f t="shared" si="8"/>
        <v>974040</v>
      </c>
      <c r="I57" s="44">
        <f t="shared" si="8"/>
        <v>978090</v>
      </c>
      <c r="J57" s="44">
        <f t="shared" si="8"/>
        <v>974070</v>
      </c>
      <c r="K57" s="44">
        <f t="shared" si="8"/>
        <v>1011920</v>
      </c>
      <c r="L57" s="44">
        <f t="shared" si="8"/>
        <v>981333.12999999977</v>
      </c>
    </row>
    <row r="58" spans="2:12" x14ac:dyDescent="0.35">
      <c r="E58" s="47"/>
      <c r="F58" s="47"/>
      <c r="G58" s="13"/>
      <c r="H58" s="47"/>
      <c r="I58" s="13"/>
      <c r="J58" s="13"/>
      <c r="K58" s="13"/>
      <c r="L58" s="13"/>
    </row>
    <row r="59" spans="2:12" s="4" customFormat="1" x14ac:dyDescent="0.35">
      <c r="B59" s="3" t="s">
        <v>11</v>
      </c>
      <c r="C59" s="3"/>
      <c r="D59" s="3"/>
      <c r="E59" s="66"/>
      <c r="F59" s="66"/>
      <c r="G59" s="70"/>
      <c r="H59" s="66"/>
      <c r="I59" s="3"/>
      <c r="J59" s="3"/>
      <c r="K59" s="3"/>
      <c r="L59" s="3"/>
    </row>
    <row r="60" spans="2:12" x14ac:dyDescent="0.35">
      <c r="B60" s="1" t="s">
        <v>18</v>
      </c>
      <c r="E60" s="13">
        <v>40000</v>
      </c>
      <c r="F60" s="13">
        <v>50000</v>
      </c>
      <c r="G60" s="13">
        <v>50000</v>
      </c>
      <c r="H60" s="13">
        <v>40000</v>
      </c>
      <c r="I60" s="13">
        <v>40000</v>
      </c>
      <c r="J60" s="13">
        <v>30000</v>
      </c>
      <c r="K60" s="13">
        <v>30000</v>
      </c>
      <c r="L60" s="13">
        <v>40905.47</v>
      </c>
    </row>
    <row r="61" spans="2:12" x14ac:dyDescent="0.35">
      <c r="B61" s="1" t="s">
        <v>21</v>
      </c>
      <c r="E61" s="13">
        <v>4000</v>
      </c>
      <c r="F61" s="13">
        <v>4000</v>
      </c>
      <c r="G61" s="13">
        <v>4000</v>
      </c>
      <c r="H61" s="13">
        <v>1000</v>
      </c>
      <c r="I61" s="13">
        <v>2000</v>
      </c>
      <c r="J61" s="13">
        <v>3000</v>
      </c>
      <c r="K61" s="13">
        <v>3000</v>
      </c>
      <c r="L61" s="13">
        <v>4175.1000000000004</v>
      </c>
    </row>
    <row r="62" spans="2:12" x14ac:dyDescent="0.35">
      <c r="B62" s="1" t="s">
        <v>30</v>
      </c>
      <c r="E62" s="13">
        <v>100000</v>
      </c>
      <c r="F62" s="13">
        <v>85000</v>
      </c>
      <c r="G62" s="13">
        <v>80000</v>
      </c>
      <c r="H62" s="13">
        <v>80000</v>
      </c>
      <c r="I62" s="13">
        <v>100000</v>
      </c>
      <c r="J62" s="13">
        <v>100000</v>
      </c>
      <c r="K62" s="13">
        <v>80000</v>
      </c>
      <c r="L62" s="13">
        <v>94613.41</v>
      </c>
    </row>
    <row r="63" spans="2:12" x14ac:dyDescent="0.35">
      <c r="B63" s="1" t="s">
        <v>22</v>
      </c>
      <c r="E63" s="13">
        <v>380000</v>
      </c>
      <c r="F63" s="13">
        <v>349640</v>
      </c>
      <c r="G63" s="13">
        <v>349640</v>
      </c>
      <c r="H63" s="13">
        <v>295750</v>
      </c>
      <c r="I63" s="13">
        <v>270000</v>
      </c>
      <c r="J63" s="13">
        <v>270000</v>
      </c>
      <c r="K63" s="13">
        <v>246200</v>
      </c>
      <c r="L63" s="13">
        <v>313194.84000000003</v>
      </c>
    </row>
    <row r="64" spans="2:12" x14ac:dyDescent="0.35">
      <c r="B64" s="1" t="s">
        <v>24</v>
      </c>
      <c r="E64" s="13">
        <v>1000</v>
      </c>
      <c r="F64" s="13">
        <v>1000</v>
      </c>
      <c r="G64" s="13">
        <v>1000</v>
      </c>
      <c r="H64" s="13">
        <v>1000</v>
      </c>
      <c r="I64" s="13">
        <v>1000</v>
      </c>
      <c r="J64" s="13">
        <v>4000</v>
      </c>
      <c r="K64" s="13">
        <v>1000</v>
      </c>
      <c r="L64" s="13">
        <v>0</v>
      </c>
    </row>
    <row r="65" spans="2:17" x14ac:dyDescent="0.35">
      <c r="B65" s="1" t="s">
        <v>29</v>
      </c>
      <c r="E65" s="13">
        <v>6000</v>
      </c>
      <c r="F65" s="13">
        <v>6000</v>
      </c>
      <c r="G65" s="13">
        <v>5000</v>
      </c>
      <c r="H65" s="13">
        <v>5000</v>
      </c>
      <c r="I65" s="13">
        <v>5000</v>
      </c>
      <c r="J65" s="13">
        <v>7000</v>
      </c>
      <c r="K65" s="13">
        <v>5000</v>
      </c>
      <c r="L65" s="13">
        <v>4039.35</v>
      </c>
      <c r="Q65" s="13"/>
    </row>
    <row r="66" spans="2:17" x14ac:dyDescent="0.35">
      <c r="B66" s="1" t="s">
        <v>25</v>
      </c>
      <c r="E66" s="13">
        <v>5000</v>
      </c>
      <c r="F66" s="13">
        <v>5000</v>
      </c>
      <c r="G66" s="13">
        <v>5000</v>
      </c>
      <c r="H66" s="13">
        <v>3000</v>
      </c>
      <c r="I66" s="13">
        <v>3000</v>
      </c>
      <c r="J66" s="13">
        <v>3000</v>
      </c>
      <c r="K66" s="13">
        <v>3000</v>
      </c>
      <c r="L66" s="13">
        <v>3830.17</v>
      </c>
    </row>
    <row r="67" spans="2:17" ht="9" customHeight="1" x14ac:dyDescent="0.35">
      <c r="E67" s="1"/>
      <c r="F67" s="13"/>
      <c r="G67" s="13"/>
      <c r="H67" s="47"/>
      <c r="I67" s="13"/>
      <c r="J67" s="13"/>
      <c r="K67" s="13"/>
      <c r="L67" s="13"/>
    </row>
    <row r="68" spans="2:17" x14ac:dyDescent="0.35">
      <c r="B68" s="20"/>
      <c r="C68" s="20" t="s">
        <v>40</v>
      </c>
      <c r="D68" s="45"/>
      <c r="E68" s="19">
        <f>SUM(E60:E66)</f>
        <v>536000</v>
      </c>
      <c r="F68" s="19">
        <f t="shared" ref="F68" si="9">SUM(F60:F66)</f>
        <v>500640</v>
      </c>
      <c r="G68" s="19">
        <f t="shared" ref="G68" si="10">SUM(G60:G66)</f>
        <v>494640</v>
      </c>
      <c r="H68" s="44">
        <f t="shared" ref="H68:L68" si="11">SUM(H60:H66)</f>
        <v>425750</v>
      </c>
      <c r="I68" s="44">
        <f t="shared" si="11"/>
        <v>421000</v>
      </c>
      <c r="J68" s="44">
        <f t="shared" si="11"/>
        <v>417000</v>
      </c>
      <c r="K68" s="44">
        <f t="shared" si="11"/>
        <v>368200</v>
      </c>
      <c r="L68" s="44">
        <f t="shared" si="11"/>
        <v>460758.34</v>
      </c>
    </row>
    <row r="69" spans="2:17" x14ac:dyDescent="0.35">
      <c r="E69" s="47"/>
      <c r="F69" s="47"/>
      <c r="G69" s="47"/>
      <c r="H69" s="47"/>
      <c r="I69" s="13"/>
      <c r="J69" s="13"/>
      <c r="K69" s="13"/>
      <c r="L69" s="13"/>
    </row>
    <row r="70" spans="2:17" s="11" customFormat="1" ht="18.75" x14ac:dyDescent="0.3">
      <c r="B70" s="26" t="s">
        <v>45</v>
      </c>
      <c r="C70" s="16"/>
      <c r="D70" s="10"/>
      <c r="E70" s="15">
        <f t="shared" ref="E70:G70" si="12">SUM(E57,E68)</f>
        <v>1464840</v>
      </c>
      <c r="F70" s="15">
        <f t="shared" ref="F70" si="13">SUM(F57,F68)</f>
        <v>1452580</v>
      </c>
      <c r="G70" s="15">
        <f t="shared" si="12"/>
        <v>1452680</v>
      </c>
      <c r="H70" s="15">
        <f t="shared" ref="H70:L70" si="14">SUM(H57,H68)</f>
        <v>1399790</v>
      </c>
      <c r="I70" s="15">
        <f t="shared" si="14"/>
        <v>1399090</v>
      </c>
      <c r="J70" s="15">
        <f t="shared" si="14"/>
        <v>1391070</v>
      </c>
      <c r="K70" s="15">
        <f t="shared" si="14"/>
        <v>1380120</v>
      </c>
      <c r="L70" s="15">
        <f t="shared" si="14"/>
        <v>1442091.4699999997</v>
      </c>
    </row>
    <row r="71" spans="2:17" x14ac:dyDescent="0.35">
      <c r="B71" s="27"/>
      <c r="E71" s="47"/>
      <c r="F71" s="47"/>
      <c r="G71" s="47"/>
      <c r="H71" s="47"/>
      <c r="I71" s="13"/>
      <c r="J71" s="13"/>
      <c r="K71" s="13"/>
      <c r="L71" s="13"/>
    </row>
    <row r="72" spans="2:17" s="11" customFormat="1" ht="18.75" x14ac:dyDescent="0.3">
      <c r="B72" s="26" t="s">
        <v>34</v>
      </c>
      <c r="C72" s="16"/>
      <c r="D72" s="10"/>
      <c r="E72" s="15">
        <f t="shared" ref="E72:L72" si="15">SUM(E38,-E70)</f>
        <v>6000</v>
      </c>
      <c r="F72" s="15">
        <f t="shared" si="15"/>
        <v>6000</v>
      </c>
      <c r="G72" s="15">
        <f t="shared" si="15"/>
        <v>6000</v>
      </c>
      <c r="H72" s="15">
        <f t="shared" si="15"/>
        <v>6000</v>
      </c>
      <c r="I72" s="15">
        <f t="shared" si="15"/>
        <v>36000</v>
      </c>
      <c r="J72" s="15">
        <f t="shared" si="15"/>
        <v>46000</v>
      </c>
      <c r="K72" s="15">
        <f t="shared" si="15"/>
        <v>6000</v>
      </c>
      <c r="L72" s="15">
        <f t="shared" si="15"/>
        <v>3877.940000000177</v>
      </c>
    </row>
    <row r="73" spans="2:17" x14ac:dyDescent="0.35">
      <c r="E73" s="47"/>
      <c r="F73" s="47"/>
      <c r="G73" s="47"/>
      <c r="H73" s="47"/>
      <c r="I73" s="13"/>
      <c r="J73" s="13"/>
      <c r="K73" s="13"/>
      <c r="L73" s="13"/>
    </row>
    <row r="74" spans="2:17" s="4" customFormat="1" x14ac:dyDescent="0.35">
      <c r="B74" s="3" t="s">
        <v>134</v>
      </c>
      <c r="C74" s="3"/>
      <c r="D74" s="3"/>
      <c r="E74" s="66"/>
      <c r="F74" s="66"/>
      <c r="G74" s="66"/>
      <c r="H74" s="66"/>
      <c r="I74" s="3"/>
      <c r="J74" s="3"/>
      <c r="K74" s="3"/>
      <c r="L74" s="3"/>
    </row>
    <row r="75" spans="2:17" x14ac:dyDescent="0.35">
      <c r="B75" s="1" t="s">
        <v>6</v>
      </c>
      <c r="E75" s="82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1796.73</v>
      </c>
    </row>
    <row r="76" spans="2:17" x14ac:dyDescent="0.35">
      <c r="B76" s="1" t="s">
        <v>28</v>
      </c>
      <c r="E76" s="82">
        <v>-6000</v>
      </c>
      <c r="F76" s="13">
        <v>-6000</v>
      </c>
      <c r="G76" s="13">
        <v>-6000</v>
      </c>
      <c r="H76" s="13">
        <v>-6000</v>
      </c>
      <c r="I76" s="13">
        <v>-6000</v>
      </c>
      <c r="J76" s="13">
        <v>-6000</v>
      </c>
      <c r="K76" s="13">
        <v>-6000</v>
      </c>
      <c r="L76" s="13">
        <v>-5674.67</v>
      </c>
    </row>
    <row r="77" spans="2:17" ht="9" customHeight="1" x14ac:dyDescent="0.35">
      <c r="E77" s="47"/>
      <c r="F77" s="47"/>
      <c r="G77" s="13"/>
      <c r="H77" s="47"/>
      <c r="I77" s="13"/>
      <c r="J77" s="13"/>
      <c r="K77" s="13"/>
      <c r="L77" s="13"/>
    </row>
    <row r="78" spans="2:17" x14ac:dyDescent="0.35">
      <c r="B78" s="20"/>
      <c r="C78" s="20" t="s">
        <v>44</v>
      </c>
      <c r="D78" s="45"/>
      <c r="E78" s="19">
        <f t="shared" ref="E78:J78" si="16">SUM(E74:E76)</f>
        <v>-6000</v>
      </c>
      <c r="F78" s="19">
        <f t="shared" si="16"/>
        <v>-6000</v>
      </c>
      <c r="G78" s="19">
        <f t="shared" si="16"/>
        <v>-6000</v>
      </c>
      <c r="H78" s="44">
        <f t="shared" si="16"/>
        <v>-6000</v>
      </c>
      <c r="I78" s="44">
        <f t="shared" si="16"/>
        <v>-6000</v>
      </c>
      <c r="J78" s="44">
        <f t="shared" si="16"/>
        <v>-6000</v>
      </c>
      <c r="K78" s="44">
        <f>SUM(K76:K76)</f>
        <v>-6000</v>
      </c>
      <c r="L78" s="44">
        <f>SUM(L76:L76)</f>
        <v>-5674.67</v>
      </c>
    </row>
    <row r="79" spans="2:17" x14ac:dyDescent="0.35">
      <c r="E79" s="47"/>
      <c r="F79" s="47"/>
      <c r="G79" s="47"/>
      <c r="H79" s="47"/>
      <c r="I79" s="13"/>
      <c r="J79" s="13"/>
      <c r="K79" s="13"/>
      <c r="L79" s="13"/>
    </row>
    <row r="80" spans="2:17" s="4" customFormat="1" x14ac:dyDescent="0.35">
      <c r="B80" s="3" t="s">
        <v>35</v>
      </c>
      <c r="C80" s="3"/>
      <c r="D80" s="3"/>
      <c r="E80" s="70"/>
      <c r="F80" s="70"/>
      <c r="G80" s="66"/>
      <c r="H80" s="66"/>
      <c r="I80" s="3"/>
      <c r="J80" s="3"/>
      <c r="K80" s="3"/>
      <c r="L80" s="3"/>
    </row>
    <row r="81" spans="2:12" x14ac:dyDescent="0.35">
      <c r="B81" s="1" t="s">
        <v>126</v>
      </c>
      <c r="E81" s="82">
        <v>0</v>
      </c>
      <c r="F81" s="13">
        <v>0</v>
      </c>
      <c r="G81" s="13">
        <v>0</v>
      </c>
      <c r="H81" s="13">
        <v>0</v>
      </c>
      <c r="I81" s="13">
        <v>-30000</v>
      </c>
      <c r="J81" s="13">
        <v>-40000</v>
      </c>
      <c r="K81" s="13">
        <v>0</v>
      </c>
      <c r="L81" s="13">
        <v>0</v>
      </c>
    </row>
    <row r="82" spans="2:12" ht="9" customHeight="1" x14ac:dyDescent="0.35">
      <c r="E82" s="47"/>
      <c r="F82" s="47"/>
      <c r="G82" s="47"/>
      <c r="H82" s="13"/>
      <c r="I82" s="13"/>
      <c r="J82" s="13"/>
      <c r="K82" s="13"/>
      <c r="L82" s="13"/>
    </row>
    <row r="83" spans="2:12" x14ac:dyDescent="0.35">
      <c r="B83" s="20"/>
      <c r="C83" s="20" t="s">
        <v>43</v>
      </c>
      <c r="D83" s="45"/>
      <c r="E83" s="19">
        <f t="shared" ref="E83:G83" si="17">SUM(E81)</f>
        <v>0</v>
      </c>
      <c r="F83" s="19">
        <f t="shared" ref="F83" si="18">SUM(F81)</f>
        <v>0</v>
      </c>
      <c r="G83" s="19">
        <f t="shared" si="17"/>
        <v>0</v>
      </c>
      <c r="H83" s="44">
        <f t="shared" ref="H83:L83" si="19">SUM(H81)</f>
        <v>0</v>
      </c>
      <c r="I83" s="44">
        <f t="shared" si="19"/>
        <v>-30000</v>
      </c>
      <c r="J83" s="44">
        <f t="shared" si="19"/>
        <v>-40000</v>
      </c>
      <c r="K83" s="44">
        <f t="shared" si="19"/>
        <v>0</v>
      </c>
      <c r="L83" s="44">
        <f t="shared" si="19"/>
        <v>0</v>
      </c>
    </row>
    <row r="84" spans="2:12" x14ac:dyDescent="0.35">
      <c r="E84" s="47"/>
      <c r="F84" s="47"/>
      <c r="G84" s="47"/>
      <c r="H84" s="13"/>
      <c r="I84" s="13"/>
      <c r="J84" s="13"/>
      <c r="K84" s="13"/>
      <c r="L84" s="13"/>
    </row>
    <row r="85" spans="2:12" ht="19.5" x14ac:dyDescent="0.35">
      <c r="B85" s="26" t="s">
        <v>41</v>
      </c>
      <c r="C85" s="16"/>
      <c r="D85" s="10"/>
      <c r="E85" s="15">
        <f t="shared" ref="E85:G85" si="20">SUM(E78,E83)</f>
        <v>-6000</v>
      </c>
      <c r="F85" s="15">
        <f t="shared" ref="F85" si="21">SUM(F78,F83)</f>
        <v>-6000</v>
      </c>
      <c r="G85" s="15">
        <f t="shared" si="20"/>
        <v>-6000</v>
      </c>
      <c r="H85" s="15">
        <f t="shared" ref="H85:L85" si="22">SUM(H78,H83)</f>
        <v>-6000</v>
      </c>
      <c r="I85" s="15">
        <f t="shared" si="22"/>
        <v>-36000</v>
      </c>
      <c r="J85" s="15">
        <f t="shared" si="22"/>
        <v>-46000</v>
      </c>
      <c r="K85" s="15">
        <f t="shared" si="22"/>
        <v>-6000</v>
      </c>
      <c r="L85" s="15">
        <f t="shared" si="22"/>
        <v>-5674.67</v>
      </c>
    </row>
    <row r="86" spans="2:12" x14ac:dyDescent="0.35">
      <c r="H86" s="1"/>
    </row>
    <row r="87" spans="2:12" s="21" customFormat="1" ht="18.75" x14ac:dyDescent="0.3">
      <c r="B87" s="28" t="s">
        <v>127</v>
      </c>
      <c r="C87" s="25"/>
      <c r="D87" s="22"/>
      <c r="E87" s="23">
        <f t="shared" ref="E87:G87" si="23">SUM(E72,E85)</f>
        <v>0</v>
      </c>
      <c r="F87" s="23">
        <f t="shared" ref="F87" si="24">SUM(F72,F85)</f>
        <v>0</v>
      </c>
      <c r="G87" s="23">
        <f t="shared" si="23"/>
        <v>0</v>
      </c>
      <c r="H87" s="23">
        <f t="shared" ref="H87:L87" si="25">SUM(H72,H85)</f>
        <v>0</v>
      </c>
      <c r="I87" s="23">
        <f t="shared" si="25"/>
        <v>0</v>
      </c>
      <c r="J87" s="23">
        <f t="shared" si="25"/>
        <v>0</v>
      </c>
      <c r="K87" s="23">
        <f t="shared" si="25"/>
        <v>0</v>
      </c>
      <c r="L87" s="23">
        <f t="shared" si="25"/>
        <v>-1796.7299999998231</v>
      </c>
    </row>
  </sheetData>
  <mergeCells count="2">
    <mergeCell ref="B33:D33"/>
    <mergeCell ref="B11:D11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  <rowBreaks count="1" manualBreakCount="1">
    <brk id="71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Cons_Patr_2024</vt:lpstr>
      <vt:lpstr>Cons_Eco_2024</vt:lpstr>
      <vt:lpstr>Bil_prev_2024</vt:lpstr>
      <vt:lpstr>&lt;-- Top</vt:lpstr>
      <vt:lpstr>Bil_prev_2024!Area_stampa</vt:lpstr>
      <vt:lpstr>Cons_Eco_2024!Area_stampa</vt:lpstr>
      <vt:lpstr>Cons_Patr_2024!Area_stampa</vt:lpstr>
      <vt:lpstr>Cons_Patr_2024!STATO_PATRIMONALE_2017</vt:lpstr>
      <vt:lpstr>Bil_prev_2024!Titoli_stampa</vt:lpstr>
      <vt:lpstr>Cons_Eco_2024!Titoli_stampa</vt:lpstr>
      <vt:lpstr>Cons_Patr_2024!Titoli_stampa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Emanuela Viotto</cp:lastModifiedBy>
  <cp:lastPrinted>2025-03-24T09:25:50Z</cp:lastPrinted>
  <dcterms:created xsi:type="dcterms:W3CDTF">2017-10-24T15:24:15Z</dcterms:created>
  <dcterms:modified xsi:type="dcterms:W3CDTF">2025-04-11T06:34:18Z</dcterms:modified>
</cp:coreProperties>
</file>